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E:\LICITAÇÕES BRASIL\MATO GROSSO\SEMA MT\CP 3-2023\prop\"/>
    </mc:Choice>
  </mc:AlternateContent>
  <xr:revisionPtr revIDLastSave="0" documentId="13_ncr:1_{0050AD0F-5AE7-4B39-9F11-33F86B8759A7}" xr6:coauthVersionLast="47" xr6:coauthVersionMax="47" xr10:uidLastSave="{00000000-0000-0000-0000-000000000000}"/>
  <bookViews>
    <workbookView xWindow="-28920" yWindow="480" windowWidth="29040" windowHeight="15720" tabRatio="819" xr2:uid="{00000000-000D-0000-FFFF-FFFF00000000}"/>
  </bookViews>
  <sheets>
    <sheet name="RESUMO SEM DESONERAÇÃO" sheetId="2" r:id="rId1"/>
    <sheet name="PLANILHA SEM DESON" sheetId="36" r:id="rId2"/>
    <sheet name="CADERNO DE COMPOSIÇÃO" sheetId="52" r:id="rId3"/>
    <sheet name="COMP CIVIL" sheetId="49" state="hidden" r:id="rId4"/>
    <sheet name="COMP ETE 1" sheetId="45" state="hidden" r:id="rId5"/>
    <sheet name=" COMP HIDR 1" sheetId="29" state="hidden" r:id="rId6"/>
    <sheet name="COMP ELE" sheetId="50" state="hidden" r:id="rId7"/>
    <sheet name="COMP ESTRUT" sheetId="51" state="hidden" r:id="rId8"/>
    <sheet name="CRONOGRAMA SEM DESONERAÇÃO" sheetId="4" r:id="rId9"/>
    <sheet name="BDI NÃO DESONERADO" sheetId="26" r:id="rId10"/>
    <sheet name="ENCARGOS SOCIAIS" sheetId="53" r:id="rId11"/>
    <sheet name="QTITQTIVO ARQ FINAL" sheetId="46" state="hidden" r:id="rId12"/>
    <sheet name="QTITQTIVO ESTRUTURAL" sheetId="42" state="hidden" r:id="rId13"/>
    <sheet name="QT ESTR MURO-MURETA" sheetId="47" state="hidden" r:id="rId14"/>
    <sheet name="QTITATIVO ELÉTRICA" sheetId="40" state="hidden" r:id="rId15"/>
    <sheet name="LISTA DE MAT HIDROSSAN" sheetId="30" state="hidden" r:id="rId16"/>
    <sheet name="QTITQTIVO ETE - ADELMO" sheetId="44" state="hidden" r:id="rId17"/>
  </sheets>
  <externalReferences>
    <externalReference r:id="rId18"/>
    <externalReference r:id="rId19"/>
    <externalReference r:id="rId20"/>
  </externalReferences>
  <definedNames>
    <definedName name="ACF">'QTITQTIVO ETE - ADELMO'!$B$22</definedName>
    <definedName name="ADELMO">'QTITQTIVO ETE - ADELMO'!$B$16</definedName>
    <definedName name="_xlnm.Print_Area" localSheetId="5">' COMP HIDR 1'!$A$1:$F$286</definedName>
    <definedName name="_xlnm.Print_Area" localSheetId="9">'BDI NÃO DESONERADO'!$A$4:$C$38</definedName>
    <definedName name="_xlnm.Print_Area" localSheetId="2">'CADERNO DE COMPOSIÇÃO'!$A$1:$I$2681</definedName>
    <definedName name="_xlnm.Print_Area" localSheetId="3">'COMP CIVIL'!$A$1:$F$503</definedName>
    <definedName name="_xlnm.Print_Area" localSheetId="4">'COMP ETE 1'!$A$1:$F$29</definedName>
    <definedName name="_xlnm.Print_Area" localSheetId="8">'CRONOGRAMA SEM DESONERAÇÃO'!$A$2:$M$47</definedName>
    <definedName name="_xlnm.Print_Area" localSheetId="1">'PLANILHA SEM DESON'!$A$8:$J$440</definedName>
    <definedName name="_xlnm.Print_Area" localSheetId="0">'RESUMO SEM DESONERAÇÃO'!$A$1:$E$53</definedName>
    <definedName name="Cb">'QTITQTIVO ETE - ADELMO'!$B$15</definedName>
    <definedName name="Ce">'QTITQTIVO ETE - ADELMO'!$B$11</definedName>
    <definedName name="CFO">'QTITQTIVO ETE - ADELMO'!$B$12</definedName>
    <definedName name="CiFi">'QTITQTIVO ETE - ADELMO'!$B$10</definedName>
    <definedName name="CiFo">'QTITQTIVO ETE - ADELMO'!$B$9</definedName>
    <definedName name="COMP_NÃODESONERADO">[1]COMP_NÃODESONERADO!$A$1:$D$6698</definedName>
    <definedName name="Dch">'QTITQTIVO ETE - ADELMO'!$B$20</definedName>
    <definedName name="Dcs">'QTITQTIVO ETE - ADELMO'!$B$32</definedName>
    <definedName name="DIs">'QTITQTIVO ETE - ADELMO'!$B$27</definedName>
    <definedName name="Eb">'QTITQTIVO ETE - ADELMO'!$B$13</definedName>
    <definedName name="ESGOTO">'QTITQTIVO ETE - ADELMO'!$B$11</definedName>
    <definedName name="Et">'QTITQTIVO ETE - ADELMO'!$B$16</definedName>
    <definedName name="ETE">'QTITQTIVO ETE - ADELMO'!$B$7</definedName>
    <definedName name="Ets">'QTITQTIVO ETE - ADELMO'!$B$30</definedName>
    <definedName name="Hch">'QTITQTIVO ETE - ADELMO'!$B$19</definedName>
    <definedName name="Hcs">'QTITQTIVO ETE - ADELMO'!$B$31</definedName>
    <definedName name="His">'QTITQTIVO ETE - ADELMO'!$B$29</definedName>
    <definedName name="Hit">'QTITQTIVO ETE - ADELMO'!$B$12</definedName>
    <definedName name="INSNÃODES">[1]INSNÃODES!$A$1:$D$5829</definedName>
    <definedName name="KKKKKK">'QTITQTIVO ETE - ADELMO'!$B$20</definedName>
    <definedName name="Lb">'QTITQTIVO ETE - ADELMO'!$B$14</definedName>
    <definedName name="Le">'QTITQTIVO ETE - ADELMO'!$B$8</definedName>
    <definedName name="Li">'QTITQTIVO ETE - ADELMO'!$B$7</definedName>
    <definedName name="Pt">'QTITQTIVO ETE - ADELMO'!$B$21</definedName>
    <definedName name="Pts">'QTITQTIVO ETE - ADELMO'!$B$33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9" i="53" l="1"/>
  <c r="A48" i="53"/>
  <c r="A47" i="53"/>
  <c r="A46" i="53"/>
  <c r="D44" i="53"/>
  <c r="A37" i="26"/>
  <c r="A36" i="26"/>
  <c r="A35" i="26"/>
  <c r="A34" i="26"/>
  <c r="A33" i="26"/>
  <c r="C29" i="26"/>
  <c r="A47" i="4"/>
  <c r="A46" i="4"/>
  <c r="A45" i="4"/>
  <c r="A44" i="4"/>
  <c r="A43" i="4"/>
  <c r="M42" i="4"/>
  <c r="A2681" i="52"/>
  <c r="A2680" i="52"/>
  <c r="A2679" i="52"/>
  <c r="A2678" i="52"/>
  <c r="A2677" i="52"/>
  <c r="I2673" i="52"/>
  <c r="A438" i="36"/>
  <c r="A437" i="36"/>
  <c r="A436" i="36"/>
  <c r="A435" i="36"/>
  <c r="A434" i="36"/>
  <c r="J432" i="36"/>
  <c r="Q425" i="36"/>
  <c r="S424" i="36"/>
  <c r="R424" i="36"/>
  <c r="Q424" i="36"/>
  <c r="R423" i="36"/>
  <c r="T408" i="36"/>
  <c r="S408" i="36"/>
  <c r="R408" i="36"/>
  <c r="Q408" i="36"/>
  <c r="S407" i="36"/>
  <c r="R407" i="36"/>
  <c r="Q407" i="36"/>
  <c r="Q404" i="36"/>
  <c r="Q399" i="36"/>
  <c r="Q393" i="36"/>
  <c r="T387" i="36"/>
  <c r="S387" i="36"/>
  <c r="R387" i="36"/>
  <c r="Q387" i="36"/>
  <c r="T382" i="36"/>
  <c r="S382" i="36"/>
  <c r="R382" i="36"/>
  <c r="Q382" i="36"/>
  <c r="T373" i="36"/>
  <c r="S373" i="36"/>
  <c r="R373" i="36"/>
  <c r="Q373" i="36"/>
  <c r="Q372" i="36"/>
  <c r="S371" i="36"/>
  <c r="R371" i="36"/>
  <c r="Q371" i="36"/>
  <c r="T364" i="36"/>
  <c r="S364" i="36"/>
  <c r="R364" i="36"/>
  <c r="Q364" i="36"/>
  <c r="S363" i="36"/>
  <c r="Q363" i="36"/>
  <c r="T350" i="36"/>
  <c r="S350" i="36"/>
  <c r="R350" i="36"/>
  <c r="Q350" i="36"/>
  <c r="S349" i="36"/>
  <c r="Q349" i="36"/>
  <c r="T338" i="36"/>
  <c r="S338" i="36"/>
  <c r="R338" i="36"/>
  <c r="Q338" i="36"/>
  <c r="T337" i="36"/>
  <c r="S337" i="36"/>
  <c r="R337" i="36"/>
  <c r="Q337" i="36"/>
  <c r="S336" i="36"/>
  <c r="R336" i="36"/>
  <c r="Q336" i="36"/>
  <c r="T309" i="36"/>
  <c r="S309" i="36"/>
  <c r="R309" i="36"/>
  <c r="Q309" i="36"/>
  <c r="T308" i="36"/>
  <c r="S308" i="36"/>
  <c r="R308" i="36"/>
  <c r="Q308" i="36"/>
  <c r="S307" i="36"/>
  <c r="R307" i="36"/>
  <c r="Q307" i="36"/>
  <c r="Q291" i="36"/>
  <c r="S290" i="36"/>
  <c r="R290" i="36"/>
  <c r="Q290" i="36"/>
  <c r="R285" i="36"/>
  <c r="Q259" i="36"/>
  <c r="S258" i="36"/>
  <c r="R258" i="36"/>
  <c r="Q258" i="36"/>
  <c r="Q250" i="36"/>
  <c r="S249" i="36"/>
  <c r="R249" i="36"/>
  <c r="Q249" i="36"/>
  <c r="Q220" i="36"/>
  <c r="S219" i="36"/>
  <c r="R219" i="36"/>
  <c r="Q219" i="36"/>
  <c r="Q168" i="36"/>
  <c r="R167" i="36"/>
  <c r="Q167" i="36"/>
  <c r="S166" i="36"/>
  <c r="R166" i="36"/>
  <c r="Q166" i="36"/>
  <c r="Q164" i="36"/>
  <c r="S163" i="36"/>
  <c r="R163" i="36"/>
  <c r="Q163" i="36"/>
  <c r="T158" i="36"/>
  <c r="Q158" i="36"/>
  <c r="T157" i="36"/>
  <c r="S157" i="36"/>
  <c r="R157" i="36"/>
  <c r="Q157" i="36"/>
  <c r="S156" i="36"/>
  <c r="R156" i="36"/>
  <c r="Q156" i="36"/>
  <c r="Q150" i="36"/>
  <c r="R149" i="36"/>
  <c r="Q144" i="36"/>
  <c r="T143" i="36"/>
  <c r="S143" i="36"/>
  <c r="R143" i="36"/>
  <c r="Q143" i="36"/>
  <c r="S142" i="36"/>
  <c r="R142" i="36"/>
  <c r="Q142" i="36"/>
  <c r="Q138" i="36"/>
  <c r="R136" i="36"/>
  <c r="Q131" i="36"/>
  <c r="R127" i="36"/>
  <c r="Q127" i="36"/>
  <c r="Q126" i="36"/>
  <c r="S125" i="36"/>
  <c r="R125" i="36"/>
  <c r="Q125" i="36"/>
  <c r="Q114" i="36"/>
  <c r="S113" i="36"/>
  <c r="R113" i="36"/>
  <c r="Q113" i="36"/>
  <c r="R111" i="36"/>
  <c r="R107" i="36"/>
  <c r="T105" i="36"/>
  <c r="S105" i="36"/>
  <c r="R105" i="36"/>
  <c r="Q105" i="36"/>
  <c r="S104" i="36"/>
  <c r="R104" i="36"/>
  <c r="Q104" i="36"/>
  <c r="R102" i="36"/>
  <c r="R100" i="36"/>
  <c r="R98" i="36"/>
  <c r="R96" i="36"/>
  <c r="T95" i="36"/>
  <c r="S95" i="36"/>
  <c r="R95" i="36"/>
  <c r="Q95" i="36"/>
  <c r="S94" i="36"/>
  <c r="R94" i="36"/>
  <c r="Q94" i="36"/>
  <c r="R92" i="36"/>
  <c r="R90" i="36"/>
  <c r="R88" i="36"/>
  <c r="Q88" i="36"/>
  <c r="R86" i="36"/>
  <c r="R84" i="36"/>
  <c r="R82" i="36"/>
  <c r="R80" i="36"/>
  <c r="R78" i="36"/>
  <c r="Q77" i="36"/>
  <c r="R76" i="36"/>
  <c r="R74" i="36"/>
  <c r="R72" i="36"/>
  <c r="R70" i="36"/>
  <c r="Q69" i="36"/>
  <c r="R68" i="36"/>
  <c r="R66" i="36"/>
  <c r="Q63" i="36"/>
  <c r="R60" i="36"/>
  <c r="R58" i="36"/>
  <c r="R56" i="36"/>
  <c r="Q54" i="36"/>
  <c r="Q49" i="36"/>
  <c r="R48" i="36"/>
  <c r="R46" i="36"/>
  <c r="R44" i="36"/>
  <c r="R42" i="36"/>
  <c r="Q41" i="36"/>
  <c r="T40" i="36"/>
  <c r="S40" i="36"/>
  <c r="R40" i="36"/>
  <c r="Q40" i="36"/>
  <c r="S39" i="36"/>
  <c r="R39" i="36"/>
  <c r="Q39" i="36"/>
  <c r="R38" i="36"/>
  <c r="R36" i="36"/>
  <c r="T35" i="36"/>
  <c r="S35" i="36"/>
  <c r="R35" i="36"/>
  <c r="Q35" i="36"/>
  <c r="S34" i="36"/>
  <c r="R34" i="36"/>
  <c r="Q34" i="36"/>
  <c r="R32" i="36"/>
  <c r="R30" i="36"/>
  <c r="R28" i="36"/>
  <c r="R24" i="36"/>
  <c r="T19" i="36"/>
  <c r="S19" i="36"/>
  <c r="R19" i="36"/>
  <c r="Q19" i="36"/>
  <c r="S18" i="36"/>
  <c r="R18" i="36"/>
  <c r="Q18" i="36"/>
  <c r="G21" i="36"/>
  <c r="R21" i="36" s="1"/>
  <c r="G22" i="36"/>
  <c r="R22" i="36" s="1"/>
  <c r="G23" i="36"/>
  <c r="R23" i="36" s="1"/>
  <c r="G24" i="36"/>
  <c r="G25" i="36"/>
  <c r="R25" i="36" s="1"/>
  <c r="G27" i="36"/>
  <c r="R27" i="36" s="1"/>
  <c r="G28" i="36"/>
  <c r="G29" i="36"/>
  <c r="R29" i="36" s="1"/>
  <c r="G30" i="36"/>
  <c r="G31" i="36"/>
  <c r="R31" i="36" s="1"/>
  <c r="G32" i="36"/>
  <c r="G33" i="36"/>
  <c r="R33" i="36" s="1"/>
  <c r="G36" i="36"/>
  <c r="G37" i="36"/>
  <c r="R37" i="36" s="1"/>
  <c r="G38" i="36"/>
  <c r="G41" i="36"/>
  <c r="R41" i="36" s="1"/>
  <c r="G42" i="36"/>
  <c r="G43" i="36"/>
  <c r="R43" i="36" s="1"/>
  <c r="G44" i="36"/>
  <c r="G45" i="36"/>
  <c r="R45" i="36" s="1"/>
  <c r="G46" i="36"/>
  <c r="G47" i="36"/>
  <c r="R47" i="36" s="1"/>
  <c r="G48" i="36"/>
  <c r="G49" i="36"/>
  <c r="R49" i="36" s="1"/>
  <c r="G51" i="36"/>
  <c r="R51" i="36" s="1"/>
  <c r="G54" i="36"/>
  <c r="R54" i="36" s="1"/>
  <c r="G55" i="36"/>
  <c r="R55" i="36" s="1"/>
  <c r="G56" i="36"/>
  <c r="G57" i="36"/>
  <c r="R57" i="36" s="1"/>
  <c r="G58" i="36"/>
  <c r="G59" i="36"/>
  <c r="R59" i="36" s="1"/>
  <c r="G60" i="36"/>
  <c r="G61" i="36"/>
  <c r="R61" i="36" s="1"/>
  <c r="G62" i="36"/>
  <c r="R62" i="36" s="1"/>
  <c r="G63" i="36"/>
  <c r="R63" i="36" s="1"/>
  <c r="G65" i="36"/>
  <c r="R65" i="36" s="1"/>
  <c r="G66" i="36"/>
  <c r="G67" i="36"/>
  <c r="R67" i="36" s="1"/>
  <c r="G68" i="36"/>
  <c r="G69" i="36"/>
  <c r="R69" i="36" s="1"/>
  <c r="G70" i="36"/>
  <c r="G71" i="36"/>
  <c r="R71" i="36" s="1"/>
  <c r="G72" i="36"/>
  <c r="G73" i="36"/>
  <c r="R73" i="36" s="1"/>
  <c r="G74" i="36"/>
  <c r="G75" i="36"/>
  <c r="R75" i="36" s="1"/>
  <c r="G76" i="36"/>
  <c r="G77" i="36"/>
  <c r="R77" i="36" s="1"/>
  <c r="G78" i="36"/>
  <c r="G79" i="36"/>
  <c r="R79" i="36" s="1"/>
  <c r="G80" i="36"/>
  <c r="G81" i="36"/>
  <c r="R81" i="36" s="1"/>
  <c r="G82" i="36"/>
  <c r="G83" i="36"/>
  <c r="R83" i="36" s="1"/>
  <c r="G84" i="36"/>
  <c r="G85" i="36"/>
  <c r="R85" i="36" s="1"/>
  <c r="G86" i="36"/>
  <c r="G87" i="36"/>
  <c r="R87" i="36" s="1"/>
  <c r="G88" i="36"/>
  <c r="G89" i="36"/>
  <c r="R89" i="36" s="1"/>
  <c r="G90" i="36"/>
  <c r="G91" i="36"/>
  <c r="R91" i="36" s="1"/>
  <c r="G92" i="36"/>
  <c r="G93" i="36"/>
  <c r="R93" i="36" s="1"/>
  <c r="G96" i="36"/>
  <c r="G97" i="36"/>
  <c r="R97" i="36" s="1"/>
  <c r="G98" i="36"/>
  <c r="G99" i="36"/>
  <c r="R99" i="36" s="1"/>
  <c r="G100" i="36"/>
  <c r="G101" i="36"/>
  <c r="R101" i="36" s="1"/>
  <c r="G102" i="36"/>
  <c r="G103" i="36"/>
  <c r="R103" i="36" s="1"/>
  <c r="G107" i="36"/>
  <c r="G108" i="36"/>
  <c r="R108" i="36" s="1"/>
  <c r="G109" i="36"/>
  <c r="R109" i="36" s="1"/>
  <c r="G110" i="36"/>
  <c r="R110" i="36" s="1"/>
  <c r="G111" i="36"/>
  <c r="G114" i="36"/>
  <c r="R114" i="36" s="1"/>
  <c r="G115" i="36"/>
  <c r="R115" i="36" s="1"/>
  <c r="G116" i="36"/>
  <c r="R116" i="36" s="1"/>
  <c r="G117" i="36"/>
  <c r="R117" i="36" s="1"/>
  <c r="G118" i="36"/>
  <c r="R118" i="36" s="1"/>
  <c r="G119" i="36"/>
  <c r="R119" i="36" s="1"/>
  <c r="G121" i="36"/>
  <c r="R121" i="36" s="1"/>
  <c r="G122" i="36"/>
  <c r="R122" i="36" s="1"/>
  <c r="G126" i="36"/>
  <c r="R126" i="36" s="1"/>
  <c r="G127" i="36"/>
  <c r="G129" i="36"/>
  <c r="R129" i="36" s="1"/>
  <c r="G131" i="36"/>
  <c r="R131" i="36" s="1"/>
  <c r="G132" i="36"/>
  <c r="R132" i="36" s="1"/>
  <c r="G133" i="36"/>
  <c r="R133" i="36" s="1"/>
  <c r="G135" i="36"/>
  <c r="R135" i="36" s="1"/>
  <c r="G136" i="36"/>
  <c r="G137" i="36"/>
  <c r="R137" i="36" s="1"/>
  <c r="G138" i="36"/>
  <c r="R138" i="36" s="1"/>
  <c r="G144" i="36"/>
  <c r="R144" i="36" s="1"/>
  <c r="G145" i="36"/>
  <c r="R145" i="36" s="1"/>
  <c r="G146" i="36"/>
  <c r="R146" i="36" s="1"/>
  <c r="G147" i="36"/>
  <c r="R147" i="36" s="1"/>
  <c r="G148" i="36"/>
  <c r="R148" i="36" s="1"/>
  <c r="G149" i="36"/>
  <c r="G150" i="36"/>
  <c r="R150" i="36" s="1"/>
  <c r="G151" i="36"/>
  <c r="R151" i="36" s="1"/>
  <c r="G152" i="36"/>
  <c r="R152" i="36" s="1"/>
  <c r="G153" i="36"/>
  <c r="R153" i="36" s="1"/>
  <c r="G155" i="36"/>
  <c r="R155" i="36" s="1"/>
  <c r="G158" i="36"/>
  <c r="R158" i="36" s="1"/>
  <c r="G162" i="36"/>
  <c r="R162" i="36" s="1"/>
  <c r="G164" i="36"/>
  <c r="R164" i="36" s="1"/>
  <c r="G167" i="36"/>
  <c r="G168" i="36"/>
  <c r="R168" i="36" s="1"/>
  <c r="G169" i="36"/>
  <c r="R169" i="36" s="1"/>
  <c r="G171" i="36"/>
  <c r="R171" i="36" s="1"/>
  <c r="G172" i="36"/>
  <c r="R172" i="36" s="1"/>
  <c r="G173" i="36"/>
  <c r="R173" i="36" s="1"/>
  <c r="G174" i="36"/>
  <c r="R174" i="36" s="1"/>
  <c r="G175" i="36"/>
  <c r="R175" i="36" s="1"/>
  <c r="G181" i="36"/>
  <c r="R181" i="36" s="1"/>
  <c r="G183" i="36"/>
  <c r="R183" i="36" s="1"/>
  <c r="G184" i="36"/>
  <c r="R184" i="36" s="1"/>
  <c r="G186" i="36"/>
  <c r="R186" i="36" s="1"/>
  <c r="G187" i="36"/>
  <c r="R187" i="36" s="1"/>
  <c r="G188" i="36"/>
  <c r="R188" i="36" s="1"/>
  <c r="G189" i="36"/>
  <c r="R189" i="36" s="1"/>
  <c r="G190" i="36"/>
  <c r="R190" i="36" s="1"/>
  <c r="G191" i="36"/>
  <c r="R191" i="36" s="1"/>
  <c r="G192" i="36"/>
  <c r="R192" i="36" s="1"/>
  <c r="G193" i="36"/>
  <c r="R193" i="36" s="1"/>
  <c r="G194" i="36"/>
  <c r="R194" i="36" s="1"/>
  <c r="G195" i="36"/>
  <c r="R195" i="36" s="1"/>
  <c r="G196" i="36"/>
  <c r="R196" i="36" s="1"/>
  <c r="G197" i="36"/>
  <c r="R197" i="36" s="1"/>
  <c r="G200" i="36"/>
  <c r="R200" i="36" s="1"/>
  <c r="G201" i="36"/>
  <c r="R201" i="36" s="1"/>
  <c r="G202" i="36"/>
  <c r="R202" i="36" s="1"/>
  <c r="G209" i="36"/>
  <c r="R209" i="36" s="1"/>
  <c r="G210" i="36"/>
  <c r="R210" i="36" s="1"/>
  <c r="G211" i="36"/>
  <c r="R211" i="36" s="1"/>
  <c r="G212" i="36"/>
  <c r="R212" i="36" s="1"/>
  <c r="G218" i="36"/>
  <c r="R218" i="36" s="1"/>
  <c r="G220" i="36"/>
  <c r="R220" i="36" s="1"/>
  <c r="G222" i="36"/>
  <c r="R222" i="36" s="1"/>
  <c r="G228" i="36"/>
  <c r="R228" i="36" s="1"/>
  <c r="G229" i="36"/>
  <c r="R229" i="36" s="1"/>
  <c r="G233" i="36"/>
  <c r="R233" i="36" s="1"/>
  <c r="G238" i="36"/>
  <c r="R238" i="36" s="1"/>
  <c r="G239" i="36"/>
  <c r="R239" i="36" s="1"/>
  <c r="G242" i="36"/>
  <c r="R242" i="36" s="1"/>
  <c r="G243" i="36"/>
  <c r="R243" i="36" s="1"/>
  <c r="G244" i="36"/>
  <c r="R244" i="36" s="1"/>
  <c r="G245" i="36"/>
  <c r="R245" i="36" s="1"/>
  <c r="G250" i="36"/>
  <c r="R250" i="36" s="1"/>
  <c r="G252" i="36"/>
  <c r="R252" i="36" s="1"/>
  <c r="G253" i="36"/>
  <c r="R253" i="36" s="1"/>
  <c r="G254" i="36"/>
  <c r="R254" i="36" s="1"/>
  <c r="G255" i="36"/>
  <c r="R255" i="36" s="1"/>
  <c r="G256" i="36"/>
  <c r="R256" i="36" s="1"/>
  <c r="G259" i="36"/>
  <c r="R259" i="36" s="1"/>
  <c r="G260" i="36"/>
  <c r="R260" i="36" s="1"/>
  <c r="G265" i="36"/>
  <c r="R265" i="36" s="1"/>
  <c r="G266" i="36"/>
  <c r="R266" i="36" s="1"/>
  <c r="G267" i="36"/>
  <c r="R267" i="36" s="1"/>
  <c r="G269" i="36"/>
  <c r="R269" i="36" s="1"/>
  <c r="G270" i="36"/>
  <c r="R270" i="36" s="1"/>
  <c r="G271" i="36"/>
  <c r="R271" i="36" s="1"/>
  <c r="G272" i="36"/>
  <c r="R272" i="36" s="1"/>
  <c r="G273" i="36"/>
  <c r="R273" i="36" s="1"/>
  <c r="G274" i="36"/>
  <c r="R274" i="36" s="1"/>
  <c r="G275" i="36"/>
  <c r="R275" i="36" s="1"/>
  <c r="G276" i="36"/>
  <c r="R276" i="36" s="1"/>
  <c r="G277" i="36"/>
  <c r="R277" i="36" s="1"/>
  <c r="G280" i="36"/>
  <c r="R280" i="36" s="1"/>
  <c r="G283" i="36"/>
  <c r="R283" i="36" s="1"/>
  <c r="G284" i="36"/>
  <c r="R284" i="36" s="1"/>
  <c r="G288" i="36"/>
  <c r="R288" i="36" s="1"/>
  <c r="G289" i="36"/>
  <c r="R289" i="36" s="1"/>
  <c r="G291" i="36"/>
  <c r="R291" i="36" s="1"/>
  <c r="G293" i="36"/>
  <c r="R293" i="36" s="1"/>
  <c r="G294" i="36"/>
  <c r="R294" i="36" s="1"/>
  <c r="G295" i="36"/>
  <c r="R295" i="36" s="1"/>
  <c r="G296" i="36"/>
  <c r="R296" i="36" s="1"/>
  <c r="G297" i="36"/>
  <c r="R297" i="36" s="1"/>
  <c r="G298" i="36"/>
  <c r="R298" i="36" s="1"/>
  <c r="G299" i="36"/>
  <c r="R299" i="36" s="1"/>
  <c r="G303" i="36"/>
  <c r="R303" i="36" s="1"/>
  <c r="G310" i="36"/>
  <c r="R310" i="36" s="1"/>
  <c r="G312" i="36"/>
  <c r="R312" i="36" s="1"/>
  <c r="G313" i="36"/>
  <c r="R313" i="36" s="1"/>
  <c r="G314" i="36"/>
  <c r="R314" i="36" s="1"/>
  <c r="G315" i="36"/>
  <c r="R315" i="36" s="1"/>
  <c r="G316" i="36"/>
  <c r="R316" i="36" s="1"/>
  <c r="G317" i="36"/>
  <c r="R317" i="36" s="1"/>
  <c r="G320" i="36"/>
  <c r="R320" i="36" s="1"/>
  <c r="G321" i="36"/>
  <c r="R321" i="36" s="1"/>
  <c r="G322" i="36"/>
  <c r="R322" i="36" s="1"/>
  <c r="G323" i="36"/>
  <c r="R323" i="36" s="1"/>
  <c r="G324" i="36"/>
  <c r="R324" i="36" s="1"/>
  <c r="G325" i="36"/>
  <c r="R325" i="36" s="1"/>
  <c r="G326" i="36"/>
  <c r="R326" i="36" s="1"/>
  <c r="G331" i="36"/>
  <c r="R331" i="36" s="1"/>
  <c r="G333" i="36"/>
  <c r="R333" i="36" s="1"/>
  <c r="G335" i="36"/>
  <c r="R335" i="36" s="1"/>
  <c r="G339" i="36"/>
  <c r="R339" i="36" s="1"/>
  <c r="G340" i="36"/>
  <c r="R340" i="36" s="1"/>
  <c r="G341" i="36"/>
  <c r="R341" i="36" s="1"/>
  <c r="G342" i="36"/>
  <c r="R342" i="36" s="1"/>
  <c r="G343" i="36"/>
  <c r="R343" i="36" s="1"/>
  <c r="G344" i="36"/>
  <c r="R344" i="36" s="1"/>
  <c r="G345" i="36"/>
  <c r="R345" i="36" s="1"/>
  <c r="G346" i="36"/>
  <c r="R346" i="36" s="1"/>
  <c r="G347" i="36"/>
  <c r="R347" i="36" s="1"/>
  <c r="G348" i="36"/>
  <c r="R348" i="36" s="1"/>
  <c r="G349" i="36"/>
  <c r="R349" i="36" s="1"/>
  <c r="G351" i="36"/>
  <c r="R351" i="36" s="1"/>
  <c r="G352" i="36"/>
  <c r="R352" i="36" s="1"/>
  <c r="G353" i="36"/>
  <c r="R353" i="36" s="1"/>
  <c r="G354" i="36"/>
  <c r="R354" i="36" s="1"/>
  <c r="G355" i="36"/>
  <c r="R355" i="36" s="1"/>
  <c r="G356" i="36"/>
  <c r="R356" i="36" s="1"/>
  <c r="G357" i="36"/>
  <c r="R357" i="36" s="1"/>
  <c r="G358" i="36"/>
  <c r="R358" i="36" s="1"/>
  <c r="G359" i="36"/>
  <c r="R359" i="36" s="1"/>
  <c r="G360" i="36"/>
  <c r="R360" i="36" s="1"/>
  <c r="G362" i="36"/>
  <c r="R362" i="36" s="1"/>
  <c r="G363" i="36"/>
  <c r="R363" i="36" s="1"/>
  <c r="G366" i="36"/>
  <c r="R366" i="36" s="1"/>
  <c r="G369" i="36"/>
  <c r="R369" i="36" s="1"/>
  <c r="G372" i="36"/>
  <c r="R372" i="36" s="1"/>
  <c r="G374" i="36"/>
  <c r="R374" i="36" s="1"/>
  <c r="G375" i="36"/>
  <c r="R375" i="36" s="1"/>
  <c r="G376" i="36"/>
  <c r="R376" i="36" s="1"/>
  <c r="G377" i="36"/>
  <c r="R377" i="36" s="1"/>
  <c r="G378" i="36"/>
  <c r="R378" i="36" s="1"/>
  <c r="G379" i="36"/>
  <c r="R379" i="36" s="1"/>
  <c r="G380" i="36"/>
  <c r="R380" i="36" s="1"/>
  <c r="G381" i="36"/>
  <c r="R381" i="36" s="1"/>
  <c r="G383" i="36"/>
  <c r="R383" i="36" s="1"/>
  <c r="G384" i="36"/>
  <c r="R384" i="36" s="1"/>
  <c r="G385" i="36"/>
  <c r="R385" i="36" s="1"/>
  <c r="G386" i="36"/>
  <c r="R386" i="36" s="1"/>
  <c r="G388" i="36"/>
  <c r="R388" i="36" s="1"/>
  <c r="G389" i="36"/>
  <c r="R389" i="36" s="1"/>
  <c r="G390" i="36"/>
  <c r="R390" i="36" s="1"/>
  <c r="G391" i="36"/>
  <c r="R391" i="36" s="1"/>
  <c r="G392" i="36"/>
  <c r="R392" i="36" s="1"/>
  <c r="G393" i="36"/>
  <c r="R393" i="36" s="1"/>
  <c r="G394" i="36"/>
  <c r="R394" i="36" s="1"/>
  <c r="G395" i="36"/>
  <c r="R395" i="36" s="1"/>
  <c r="G396" i="36"/>
  <c r="R396" i="36" s="1"/>
  <c r="G397" i="36"/>
  <c r="R397" i="36" s="1"/>
  <c r="G398" i="36"/>
  <c r="R398" i="36" s="1"/>
  <c r="G399" i="36"/>
  <c r="R399" i="36" s="1"/>
  <c r="G400" i="36"/>
  <c r="R400" i="36" s="1"/>
  <c r="G401" i="36"/>
  <c r="R401" i="36" s="1"/>
  <c r="G402" i="36"/>
  <c r="R402" i="36" s="1"/>
  <c r="G404" i="36"/>
  <c r="R404" i="36" s="1"/>
  <c r="G405" i="36"/>
  <c r="R405" i="36" s="1"/>
  <c r="G406" i="36"/>
  <c r="R406" i="36" s="1"/>
  <c r="G412" i="36"/>
  <c r="R412" i="36" s="1"/>
  <c r="G413" i="36"/>
  <c r="R413" i="36" s="1"/>
  <c r="G414" i="36"/>
  <c r="R414" i="36" s="1"/>
  <c r="G415" i="36"/>
  <c r="R415" i="36" s="1"/>
  <c r="G417" i="36"/>
  <c r="R417" i="36" s="1"/>
  <c r="G418" i="36"/>
  <c r="R418" i="36" s="1"/>
  <c r="G419" i="36"/>
  <c r="R419" i="36" s="1"/>
  <c r="G420" i="36"/>
  <c r="R420" i="36" s="1"/>
  <c r="G421" i="36"/>
  <c r="R421" i="36" s="1"/>
  <c r="G422" i="36"/>
  <c r="R422" i="36" s="1"/>
  <c r="G425" i="36"/>
  <c r="R425" i="36" s="1"/>
  <c r="G426" i="36"/>
  <c r="R426" i="36" s="1"/>
  <c r="G427" i="36"/>
  <c r="R427" i="36" s="1"/>
  <c r="G428" i="36"/>
  <c r="R428" i="36" s="1"/>
  <c r="B6" i="52" l="1"/>
  <c r="B5" i="52"/>
  <c r="B4" i="52"/>
  <c r="A2666" i="52"/>
  <c r="I2666" i="52" s="1"/>
  <c r="A2661" i="52"/>
  <c r="A2656" i="52"/>
  <c r="B2656" i="52" s="1"/>
  <c r="A2649" i="52"/>
  <c r="I2649" i="52" s="1"/>
  <c r="A2641" i="52"/>
  <c r="I2641" i="52" s="1"/>
  <c r="A2633" i="52"/>
  <c r="B2633" i="52" s="1"/>
  <c r="A2624" i="52"/>
  <c r="B2624" i="52" s="1"/>
  <c r="A2617" i="52"/>
  <c r="I2617" i="52" s="1"/>
  <c r="A2610" i="52"/>
  <c r="I2610" i="52" s="1"/>
  <c r="A2603" i="52"/>
  <c r="I2603" i="52" s="1"/>
  <c r="A2597" i="52"/>
  <c r="I2597" i="52" s="1"/>
  <c r="A2585" i="52"/>
  <c r="I2585" i="52" s="1"/>
  <c r="H2589" i="52"/>
  <c r="I2589" i="52" s="1"/>
  <c r="A2573" i="52"/>
  <c r="I2573" i="52" s="1"/>
  <c r="H2577" i="52"/>
  <c r="I2577" i="52" s="1"/>
  <c r="A2560" i="52"/>
  <c r="B2560" i="52" s="1"/>
  <c r="H2564" i="52"/>
  <c r="I2564" i="52" s="1"/>
  <c r="H2565" i="52"/>
  <c r="I2565" i="52" s="1"/>
  <c r="A2547" i="52"/>
  <c r="I2547" i="52" s="1"/>
  <c r="H2551" i="52"/>
  <c r="I2551" i="52" s="1"/>
  <c r="H2552" i="52"/>
  <c r="I2552" i="52" s="1"/>
  <c r="A2542" i="52"/>
  <c r="I2542" i="52" s="1"/>
  <c r="A2537" i="52"/>
  <c r="I2537" i="52" s="1"/>
  <c r="A2532" i="52"/>
  <c r="I2532" i="52" s="1"/>
  <c r="A2524" i="52"/>
  <c r="I2524" i="52" s="1"/>
  <c r="A2516" i="52"/>
  <c r="B2516" i="52" s="1"/>
  <c r="A2509" i="52"/>
  <c r="A2500" i="52"/>
  <c r="B2500" i="52" s="1"/>
  <c r="A2488" i="52"/>
  <c r="B2488" i="52" s="1"/>
  <c r="H2493" i="52"/>
  <c r="I2493" i="52" s="1"/>
  <c r="A2479" i="52"/>
  <c r="I2479" i="52" s="1"/>
  <c r="A2470" i="52"/>
  <c r="I2470" i="52" s="1"/>
  <c r="A2462" i="52"/>
  <c r="B2462" i="52" s="1"/>
  <c r="A2448" i="52"/>
  <c r="B2448" i="52" s="1"/>
  <c r="H2451" i="52"/>
  <c r="I2451" i="52" s="1"/>
  <c r="H2452" i="52"/>
  <c r="I2452" i="52" s="1"/>
  <c r="H2453" i="52"/>
  <c r="I2453" i="52" s="1"/>
  <c r="A2440" i="52"/>
  <c r="I2440" i="52" s="1"/>
  <c r="A2427" i="52"/>
  <c r="B2427" i="52" s="1"/>
  <c r="H2430" i="52"/>
  <c r="I2430" i="52" s="1"/>
  <c r="H2431" i="52"/>
  <c r="I2431" i="52" s="1"/>
  <c r="A2416" i="52"/>
  <c r="I2416" i="52" s="1"/>
  <c r="A2405" i="52"/>
  <c r="I2405" i="52" s="1"/>
  <c r="A2396" i="52"/>
  <c r="I2396" i="52" s="1"/>
  <c r="A2388" i="52"/>
  <c r="I2388" i="52" s="1"/>
  <c r="A2379" i="52"/>
  <c r="B2379" i="52" s="1"/>
  <c r="A2372" i="52"/>
  <c r="I2372" i="52" s="1"/>
  <c r="A2360" i="52"/>
  <c r="B2360" i="52" s="1"/>
  <c r="H2367" i="52"/>
  <c r="I2367" i="52" s="1"/>
  <c r="A2355" i="52"/>
  <c r="I2355" i="52" s="1"/>
  <c r="A2344" i="52"/>
  <c r="I2344" i="52" s="1"/>
  <c r="A2337" i="52"/>
  <c r="I2337" i="52" s="1"/>
  <c r="A2330" i="52"/>
  <c r="I2330" i="52" s="1"/>
  <c r="A2323" i="52"/>
  <c r="I2323" i="52" s="1"/>
  <c r="A2314" i="52"/>
  <c r="I2314" i="52" s="1"/>
  <c r="A2303" i="52"/>
  <c r="I2303" i="52" s="1"/>
  <c r="A2296" i="52"/>
  <c r="I2296" i="52" s="1"/>
  <c r="A2288" i="52"/>
  <c r="B2288" i="52" s="1"/>
  <c r="A2279" i="52"/>
  <c r="B2279" i="52" s="1"/>
  <c r="A2273" i="52"/>
  <c r="I2273" i="52" s="1"/>
  <c r="A2265" i="52"/>
  <c r="B2265" i="52" s="1"/>
  <c r="A2250" i="52"/>
  <c r="B2250" i="52" s="1"/>
  <c r="A2234" i="52"/>
  <c r="I2234" i="52" s="1"/>
  <c r="A2258" i="52"/>
  <c r="I2258" i="52" s="1"/>
  <c r="A2227" i="52"/>
  <c r="I2227" i="52" s="1"/>
  <c r="A2218" i="52"/>
  <c r="B2218" i="52" s="1"/>
  <c r="A2209" i="52"/>
  <c r="I2209" i="52" s="1"/>
  <c r="A2242" i="52"/>
  <c r="I2242" i="52" s="1"/>
  <c r="A2200" i="52"/>
  <c r="I2200" i="52" s="1"/>
  <c r="A2191" i="52"/>
  <c r="I2191" i="52" s="1"/>
  <c r="A2171" i="52"/>
  <c r="I2171" i="52" s="1"/>
  <c r="H2174" i="52"/>
  <c r="I2174" i="52" s="1"/>
  <c r="H2175" i="52"/>
  <c r="I2175" i="52" s="1"/>
  <c r="H2176" i="52"/>
  <c r="I2176" i="52" s="1"/>
  <c r="H2177" i="52"/>
  <c r="I2177" i="52" s="1"/>
  <c r="H2178" i="52"/>
  <c r="I2178" i="52" s="1"/>
  <c r="H2179" i="52"/>
  <c r="I2179" i="52" s="1"/>
  <c r="H2180" i="52"/>
  <c r="I2180" i="52" s="1"/>
  <c r="H2181" i="52"/>
  <c r="I2181" i="52" s="1"/>
  <c r="H2182" i="52"/>
  <c r="I2182" i="52" s="1"/>
  <c r="A2163" i="52"/>
  <c r="I2163" i="52" s="1"/>
  <c r="A2155" i="52"/>
  <c r="I2155" i="52" s="1"/>
  <c r="A2147" i="52"/>
  <c r="I2147" i="52" s="1"/>
  <c r="A2138" i="52"/>
  <c r="I2138" i="52" s="1"/>
  <c r="A2129" i="52"/>
  <c r="I2129" i="52" s="1"/>
  <c r="A2119" i="52"/>
  <c r="I2119" i="52" s="1"/>
  <c r="A2111" i="52"/>
  <c r="I2111" i="52" s="1"/>
  <c r="A2102" i="52"/>
  <c r="I2102" i="52" s="1"/>
  <c r="A2093" i="52"/>
  <c r="I2093" i="52" s="1"/>
  <c r="A2083" i="52"/>
  <c r="I2083" i="52" s="1"/>
  <c r="A2074" i="52"/>
  <c r="I2074" i="52" s="1"/>
  <c r="A2065" i="52"/>
  <c r="B2065" i="52" s="1"/>
  <c r="A2056" i="52"/>
  <c r="B2056" i="52" s="1"/>
  <c r="A2044" i="52"/>
  <c r="I2044" i="52" s="1"/>
  <c r="H2049" i="52"/>
  <c r="I2049" i="52" s="1"/>
  <c r="A2034" i="52"/>
  <c r="I2034" i="52" s="1"/>
  <c r="A2027" i="52"/>
  <c r="I2027" i="52" s="1"/>
  <c r="A2020" i="52"/>
  <c r="I2020" i="52" s="1"/>
  <c r="A2010" i="52"/>
  <c r="I2010" i="52" s="1"/>
  <c r="A2003" i="52"/>
  <c r="I2003" i="52" s="1"/>
  <c r="H2669" i="52"/>
  <c r="I2669" i="52" s="1"/>
  <c r="H2668" i="52"/>
  <c r="I2668" i="52" s="1"/>
  <c r="H2663" i="52"/>
  <c r="I2663" i="52" s="1"/>
  <c r="I2661" i="52"/>
  <c r="B2661" i="52"/>
  <c r="H2658" i="52"/>
  <c r="I2658" i="52" s="1"/>
  <c r="I2656" i="52"/>
  <c r="H2653" i="52"/>
  <c r="I2653" i="52" s="1"/>
  <c r="H2652" i="52"/>
  <c r="I2652" i="52" s="1"/>
  <c r="H2651" i="52"/>
  <c r="I2651" i="52" s="1"/>
  <c r="H2646" i="52"/>
  <c r="I2646" i="52" s="1"/>
  <c r="H2645" i="52"/>
  <c r="I2645" i="52" s="1"/>
  <c r="H2644" i="52"/>
  <c r="I2644" i="52" s="1"/>
  <c r="H2643" i="52"/>
  <c r="I2643" i="52" s="1"/>
  <c r="H2638" i="52"/>
  <c r="I2638" i="52" s="1"/>
  <c r="H2637" i="52"/>
  <c r="I2637" i="52" s="1"/>
  <c r="H2636" i="52"/>
  <c r="I2636" i="52" s="1"/>
  <c r="H2635" i="52"/>
  <c r="I2635" i="52" s="1"/>
  <c r="I2633" i="52"/>
  <c r="H2630" i="52"/>
  <c r="I2630" i="52" s="1"/>
  <c r="H2629" i="52"/>
  <c r="I2629" i="52" s="1"/>
  <c r="H2628" i="52"/>
  <c r="I2628" i="52" s="1"/>
  <c r="H2627" i="52"/>
  <c r="I2627" i="52" s="1"/>
  <c r="H2626" i="52"/>
  <c r="I2626" i="52" s="1"/>
  <c r="H2621" i="52"/>
  <c r="I2621" i="52" s="1"/>
  <c r="H2620" i="52"/>
  <c r="I2620" i="52" s="1"/>
  <c r="H2619" i="52"/>
  <c r="I2619" i="52" s="1"/>
  <c r="H2614" i="52"/>
  <c r="I2614" i="52" s="1"/>
  <c r="H2613" i="52"/>
  <c r="I2613" i="52" s="1"/>
  <c r="H2612" i="52"/>
  <c r="I2612" i="52" s="1"/>
  <c r="H2607" i="52"/>
  <c r="I2607" i="52" s="1"/>
  <c r="H2606" i="52"/>
  <c r="I2606" i="52" s="1"/>
  <c r="H2605" i="52"/>
  <c r="I2605" i="52" s="1"/>
  <c r="H2600" i="52"/>
  <c r="I2600" i="52" s="1"/>
  <c r="H2599" i="52"/>
  <c r="I2599" i="52" s="1"/>
  <c r="H2594" i="52"/>
  <c r="I2594" i="52" s="1"/>
  <c r="H2593" i="52"/>
  <c r="I2593" i="52" s="1"/>
  <c r="H2592" i="52"/>
  <c r="I2592" i="52" s="1"/>
  <c r="H2591" i="52"/>
  <c r="I2591" i="52" s="1"/>
  <c r="H2590" i="52"/>
  <c r="I2590" i="52" s="1"/>
  <c r="H2588" i="52"/>
  <c r="I2588" i="52" s="1"/>
  <c r="H2587" i="52"/>
  <c r="I2587" i="52" s="1"/>
  <c r="H2582" i="52"/>
  <c r="I2582" i="52" s="1"/>
  <c r="H2581" i="52"/>
  <c r="I2581" i="52" s="1"/>
  <c r="H2580" i="52"/>
  <c r="I2580" i="52" s="1"/>
  <c r="H2579" i="52"/>
  <c r="I2579" i="52" s="1"/>
  <c r="H2578" i="52"/>
  <c r="I2578" i="52" s="1"/>
  <c r="H2576" i="52"/>
  <c r="I2576" i="52" s="1"/>
  <c r="H2575" i="52"/>
  <c r="I2575" i="52" s="1"/>
  <c r="H2570" i="52"/>
  <c r="I2570" i="52" s="1"/>
  <c r="H2569" i="52"/>
  <c r="I2569" i="52" s="1"/>
  <c r="H2568" i="52"/>
  <c r="I2568" i="52" s="1"/>
  <c r="H2567" i="52"/>
  <c r="I2567" i="52" s="1"/>
  <c r="H2566" i="52"/>
  <c r="I2566" i="52" s="1"/>
  <c r="H2563" i="52"/>
  <c r="I2563" i="52" s="1"/>
  <c r="H2562" i="52"/>
  <c r="I2562" i="52" s="1"/>
  <c r="H2557" i="52"/>
  <c r="I2557" i="52" s="1"/>
  <c r="H2556" i="52"/>
  <c r="I2556" i="52" s="1"/>
  <c r="H2555" i="52"/>
  <c r="I2555" i="52" s="1"/>
  <c r="H2554" i="52"/>
  <c r="I2554" i="52" s="1"/>
  <c r="H2553" i="52"/>
  <c r="I2553" i="52" s="1"/>
  <c r="H2550" i="52"/>
  <c r="I2550" i="52" s="1"/>
  <c r="H2549" i="52"/>
  <c r="I2549" i="52" s="1"/>
  <c r="H2544" i="52"/>
  <c r="I2544" i="52" s="1"/>
  <c r="H2539" i="52"/>
  <c r="I2539" i="52" s="1"/>
  <c r="H2534" i="52"/>
  <c r="I2534" i="52" s="1"/>
  <c r="H2529" i="52"/>
  <c r="I2529" i="52" s="1"/>
  <c r="H2528" i="52"/>
  <c r="I2528" i="52" s="1"/>
  <c r="H2527" i="52"/>
  <c r="I2527" i="52" s="1"/>
  <c r="H2526" i="52"/>
  <c r="I2526" i="52" s="1"/>
  <c r="H2521" i="52"/>
  <c r="I2521" i="52" s="1"/>
  <c r="H2520" i="52"/>
  <c r="I2520" i="52" s="1"/>
  <c r="H2519" i="52"/>
  <c r="I2519" i="52" s="1"/>
  <c r="H2518" i="52"/>
  <c r="I2518" i="52" s="1"/>
  <c r="H2513" i="52"/>
  <c r="I2513" i="52" s="1"/>
  <c r="H2512" i="52"/>
  <c r="I2512" i="52" s="1"/>
  <c r="H2511" i="52"/>
  <c r="I2511" i="52" s="1"/>
  <c r="H2506" i="52"/>
  <c r="I2506" i="52" s="1"/>
  <c r="H2505" i="52"/>
  <c r="I2505" i="52" s="1"/>
  <c r="H2504" i="52"/>
  <c r="I2504" i="52" s="1"/>
  <c r="H2503" i="52"/>
  <c r="I2503" i="52" s="1"/>
  <c r="H2502" i="52"/>
  <c r="I2502" i="52" s="1"/>
  <c r="H2497" i="52"/>
  <c r="I2497" i="52" s="1"/>
  <c r="H2496" i="52"/>
  <c r="I2496" i="52" s="1"/>
  <c r="H2495" i="52"/>
  <c r="I2495" i="52" s="1"/>
  <c r="H2494" i="52"/>
  <c r="I2494" i="52" s="1"/>
  <c r="H2492" i="52"/>
  <c r="I2492" i="52" s="1"/>
  <c r="H2491" i="52"/>
  <c r="I2491" i="52" s="1"/>
  <c r="H2490" i="52"/>
  <c r="I2490" i="52" s="1"/>
  <c r="H2485" i="52"/>
  <c r="I2485" i="52" s="1"/>
  <c r="H2484" i="52"/>
  <c r="I2484" i="52" s="1"/>
  <c r="H2483" i="52"/>
  <c r="I2483" i="52" s="1"/>
  <c r="H2482" i="52"/>
  <c r="I2482" i="52" s="1"/>
  <c r="H2481" i="52"/>
  <c r="I2481" i="52" s="1"/>
  <c r="H2476" i="52"/>
  <c r="I2476" i="52" s="1"/>
  <c r="H2475" i="52"/>
  <c r="I2475" i="52" s="1"/>
  <c r="H2474" i="52"/>
  <c r="I2474" i="52" s="1"/>
  <c r="H2473" i="52"/>
  <c r="I2473" i="52" s="1"/>
  <c r="H2472" i="52"/>
  <c r="I2472" i="52" s="1"/>
  <c r="H2467" i="52"/>
  <c r="I2467" i="52" s="1"/>
  <c r="H2466" i="52"/>
  <c r="I2466" i="52" s="1"/>
  <c r="H2465" i="52"/>
  <c r="I2465" i="52" s="1"/>
  <c r="H2464" i="52"/>
  <c r="I2464" i="52" s="1"/>
  <c r="H2459" i="52"/>
  <c r="I2459" i="52" s="1"/>
  <c r="H2458" i="52"/>
  <c r="I2458" i="52" s="1"/>
  <c r="H2457" i="52"/>
  <c r="I2457" i="52" s="1"/>
  <c r="H2456" i="52"/>
  <c r="I2456" i="52" s="1"/>
  <c r="H2455" i="52"/>
  <c r="I2455" i="52" s="1"/>
  <c r="H2454" i="52"/>
  <c r="I2454" i="52" s="1"/>
  <c r="H2450" i="52"/>
  <c r="I2450" i="52" s="1"/>
  <c r="H2445" i="52"/>
  <c r="I2445" i="52" s="1"/>
  <c r="H2444" i="52"/>
  <c r="I2444" i="52" s="1"/>
  <c r="H2443" i="52"/>
  <c r="I2443" i="52" s="1"/>
  <c r="H2442" i="52"/>
  <c r="I2442" i="52" s="1"/>
  <c r="H2437" i="52"/>
  <c r="I2437" i="52" s="1"/>
  <c r="H2436" i="52"/>
  <c r="I2436" i="52" s="1"/>
  <c r="H2435" i="52"/>
  <c r="I2435" i="52" s="1"/>
  <c r="H2434" i="52"/>
  <c r="I2434" i="52" s="1"/>
  <c r="H2433" i="52"/>
  <c r="I2433" i="52" s="1"/>
  <c r="H2432" i="52"/>
  <c r="I2432" i="52" s="1"/>
  <c r="H2429" i="52"/>
  <c r="I2429" i="52" s="1"/>
  <c r="H2424" i="52"/>
  <c r="I2424" i="52" s="1"/>
  <c r="H2423" i="52"/>
  <c r="I2423" i="52" s="1"/>
  <c r="H2422" i="52"/>
  <c r="I2422" i="52" s="1"/>
  <c r="H2421" i="52"/>
  <c r="I2421" i="52" s="1"/>
  <c r="H2420" i="52"/>
  <c r="I2420" i="52" s="1"/>
  <c r="H2419" i="52"/>
  <c r="I2419" i="52" s="1"/>
  <c r="H2418" i="52"/>
  <c r="I2418" i="52" s="1"/>
  <c r="H2413" i="52"/>
  <c r="I2413" i="52" s="1"/>
  <c r="H2412" i="52"/>
  <c r="I2412" i="52" s="1"/>
  <c r="H2411" i="52"/>
  <c r="I2411" i="52" s="1"/>
  <c r="H2410" i="52"/>
  <c r="I2410" i="52" s="1"/>
  <c r="H2409" i="52"/>
  <c r="I2409" i="52" s="1"/>
  <c r="H2408" i="52"/>
  <c r="I2408" i="52" s="1"/>
  <c r="H2407" i="52"/>
  <c r="I2407" i="52" s="1"/>
  <c r="H2402" i="52"/>
  <c r="I2402" i="52" s="1"/>
  <c r="H2401" i="52"/>
  <c r="I2401" i="52" s="1"/>
  <c r="H2400" i="52"/>
  <c r="I2400" i="52" s="1"/>
  <c r="H2399" i="52"/>
  <c r="I2399" i="52" s="1"/>
  <c r="H2398" i="52"/>
  <c r="I2398" i="52" s="1"/>
  <c r="H2393" i="52"/>
  <c r="I2393" i="52" s="1"/>
  <c r="H2392" i="52"/>
  <c r="I2392" i="52" s="1"/>
  <c r="H2391" i="52"/>
  <c r="I2391" i="52" s="1"/>
  <c r="H2390" i="52"/>
  <c r="I2390" i="52" s="1"/>
  <c r="H2385" i="52"/>
  <c r="I2385" i="52" s="1"/>
  <c r="H2384" i="52"/>
  <c r="I2384" i="52" s="1"/>
  <c r="H2383" i="52"/>
  <c r="I2383" i="52" s="1"/>
  <c r="H2382" i="52"/>
  <c r="I2382" i="52" s="1"/>
  <c r="H2381" i="52"/>
  <c r="I2381" i="52" s="1"/>
  <c r="H2376" i="52"/>
  <c r="I2376" i="52" s="1"/>
  <c r="H2375" i="52"/>
  <c r="I2375" i="52" s="1"/>
  <c r="H2374" i="52"/>
  <c r="I2374" i="52" s="1"/>
  <c r="H2369" i="52"/>
  <c r="I2369" i="52" s="1"/>
  <c r="H2368" i="52"/>
  <c r="I2368" i="52" s="1"/>
  <c r="H2366" i="52"/>
  <c r="I2366" i="52" s="1"/>
  <c r="H2365" i="52"/>
  <c r="I2365" i="52" s="1"/>
  <c r="H2364" i="52"/>
  <c r="I2364" i="52" s="1"/>
  <c r="H2363" i="52"/>
  <c r="I2363" i="52" s="1"/>
  <c r="H2362" i="52"/>
  <c r="I2362" i="52" s="1"/>
  <c r="H2357" i="52"/>
  <c r="I2357" i="52" s="1"/>
  <c r="H2352" i="52"/>
  <c r="I2352" i="52" s="1"/>
  <c r="H2351" i="52"/>
  <c r="I2351" i="52" s="1"/>
  <c r="H2350" i="52"/>
  <c r="I2350" i="52" s="1"/>
  <c r="H2349" i="52"/>
  <c r="I2349" i="52" s="1"/>
  <c r="H2348" i="52"/>
  <c r="I2348" i="52" s="1"/>
  <c r="H2347" i="52"/>
  <c r="I2347" i="52" s="1"/>
  <c r="H2346" i="52"/>
  <c r="I2346" i="52" s="1"/>
  <c r="H2341" i="52"/>
  <c r="I2341" i="52" s="1"/>
  <c r="H2340" i="52"/>
  <c r="I2340" i="52" s="1"/>
  <c r="H2339" i="52"/>
  <c r="I2339" i="52" s="1"/>
  <c r="H2334" i="52"/>
  <c r="I2334" i="52" s="1"/>
  <c r="H2333" i="52"/>
  <c r="I2333" i="52" s="1"/>
  <c r="H2332" i="52"/>
  <c r="I2332" i="52" s="1"/>
  <c r="H2327" i="52"/>
  <c r="I2327" i="52" s="1"/>
  <c r="H2326" i="52"/>
  <c r="I2326" i="52" s="1"/>
  <c r="H2325" i="52"/>
  <c r="I2325" i="52" s="1"/>
  <c r="H2320" i="52"/>
  <c r="I2320" i="52" s="1"/>
  <c r="H2319" i="52"/>
  <c r="I2319" i="52" s="1"/>
  <c r="H2318" i="52"/>
  <c r="I2318" i="52" s="1"/>
  <c r="H2317" i="52"/>
  <c r="I2317" i="52" s="1"/>
  <c r="H2316" i="52"/>
  <c r="I2316" i="52" s="1"/>
  <c r="H2311" i="52"/>
  <c r="I2311" i="52" s="1"/>
  <c r="H2310" i="52"/>
  <c r="I2310" i="52" s="1"/>
  <c r="H2309" i="52"/>
  <c r="I2309" i="52" s="1"/>
  <c r="H2308" i="52"/>
  <c r="I2308" i="52" s="1"/>
  <c r="H2307" i="52"/>
  <c r="I2307" i="52" s="1"/>
  <c r="H2306" i="52"/>
  <c r="I2306" i="52" s="1"/>
  <c r="H2305" i="52"/>
  <c r="I2305" i="52" s="1"/>
  <c r="H2300" i="52"/>
  <c r="I2300" i="52" s="1"/>
  <c r="H2299" i="52"/>
  <c r="I2299" i="52" s="1"/>
  <c r="H2298" i="52"/>
  <c r="I2298" i="52" s="1"/>
  <c r="H2293" i="52"/>
  <c r="I2293" i="52" s="1"/>
  <c r="H2292" i="52"/>
  <c r="I2292" i="52" s="1"/>
  <c r="H2291" i="52"/>
  <c r="I2291" i="52" s="1"/>
  <c r="H2290" i="52"/>
  <c r="I2290" i="52" s="1"/>
  <c r="H2285" i="52"/>
  <c r="I2285" i="52" s="1"/>
  <c r="H2284" i="52"/>
  <c r="I2284" i="52" s="1"/>
  <c r="H2283" i="52"/>
  <c r="I2283" i="52" s="1"/>
  <c r="H2282" i="52"/>
  <c r="I2282" i="52" s="1"/>
  <c r="H2281" i="52"/>
  <c r="I2281" i="52" s="1"/>
  <c r="H2276" i="52"/>
  <c r="I2276" i="52" s="1"/>
  <c r="H2275" i="52"/>
  <c r="I2275" i="52" s="1"/>
  <c r="H2270" i="52"/>
  <c r="I2270" i="52" s="1"/>
  <c r="H2269" i="52"/>
  <c r="I2269" i="52" s="1"/>
  <c r="H2268" i="52"/>
  <c r="I2268" i="52" s="1"/>
  <c r="H2267" i="52"/>
  <c r="I2267" i="52" s="1"/>
  <c r="H2262" i="52"/>
  <c r="I2262" i="52" s="1"/>
  <c r="H2261" i="52"/>
  <c r="I2261" i="52" s="1"/>
  <c r="H2260" i="52"/>
  <c r="I2260" i="52" s="1"/>
  <c r="H2255" i="52"/>
  <c r="I2255" i="52" s="1"/>
  <c r="H2254" i="52"/>
  <c r="I2254" i="52" s="1"/>
  <c r="H2253" i="52"/>
  <c r="I2253" i="52" s="1"/>
  <c r="H2252" i="52"/>
  <c r="I2252" i="52" s="1"/>
  <c r="H2247" i="52"/>
  <c r="I2247" i="52" s="1"/>
  <c r="H2246" i="52"/>
  <c r="I2246" i="52" s="1"/>
  <c r="H2245" i="52"/>
  <c r="I2245" i="52" s="1"/>
  <c r="H2244" i="52"/>
  <c r="I2244" i="52" s="1"/>
  <c r="H2239" i="52"/>
  <c r="I2239" i="52" s="1"/>
  <c r="H2238" i="52"/>
  <c r="I2238" i="52" s="1"/>
  <c r="H2237" i="52"/>
  <c r="I2237" i="52" s="1"/>
  <c r="H2236" i="52"/>
  <c r="I2236" i="52" s="1"/>
  <c r="H2231" i="52"/>
  <c r="I2231" i="52" s="1"/>
  <c r="H2230" i="52"/>
  <c r="I2230" i="52" s="1"/>
  <c r="H2229" i="52"/>
  <c r="I2229" i="52" s="1"/>
  <c r="H2224" i="52"/>
  <c r="I2224" i="52" s="1"/>
  <c r="H2223" i="52"/>
  <c r="I2223" i="52" s="1"/>
  <c r="H2222" i="52"/>
  <c r="I2222" i="52" s="1"/>
  <c r="H2221" i="52"/>
  <c r="I2221" i="52" s="1"/>
  <c r="H2220" i="52"/>
  <c r="I2220" i="52" s="1"/>
  <c r="H2215" i="52"/>
  <c r="I2215" i="52" s="1"/>
  <c r="H2214" i="52"/>
  <c r="I2214" i="52" s="1"/>
  <c r="H2213" i="52"/>
  <c r="I2213" i="52" s="1"/>
  <c r="H2212" i="52"/>
  <c r="I2212" i="52" s="1"/>
  <c r="H2211" i="52"/>
  <c r="I2211" i="52" s="1"/>
  <c r="H2206" i="52"/>
  <c r="I2206" i="52" s="1"/>
  <c r="H2205" i="52"/>
  <c r="I2205" i="52" s="1"/>
  <c r="H2204" i="52"/>
  <c r="I2204" i="52" s="1"/>
  <c r="H2203" i="52"/>
  <c r="I2203" i="52" s="1"/>
  <c r="H2202" i="52"/>
  <c r="I2202" i="52" s="1"/>
  <c r="H2197" i="52"/>
  <c r="I2197" i="52" s="1"/>
  <c r="H2196" i="52"/>
  <c r="I2196" i="52" s="1"/>
  <c r="H2195" i="52"/>
  <c r="I2195" i="52" s="1"/>
  <c r="H2194" i="52"/>
  <c r="I2194" i="52" s="1"/>
  <c r="H2193" i="52"/>
  <c r="I2193" i="52" s="1"/>
  <c r="H2188" i="52"/>
  <c r="I2188" i="52" s="1"/>
  <c r="H2187" i="52"/>
  <c r="I2187" i="52" s="1"/>
  <c r="H2186" i="52"/>
  <c r="I2186" i="52" s="1"/>
  <c r="H2185" i="52"/>
  <c r="I2185" i="52" s="1"/>
  <c r="H2184" i="52"/>
  <c r="I2184" i="52" s="1"/>
  <c r="H2183" i="52"/>
  <c r="I2183" i="52" s="1"/>
  <c r="H2173" i="52"/>
  <c r="I2173" i="52" s="1"/>
  <c r="H2168" i="52"/>
  <c r="I2168" i="52" s="1"/>
  <c r="H2167" i="52"/>
  <c r="I2167" i="52" s="1"/>
  <c r="H2166" i="52"/>
  <c r="I2166" i="52" s="1"/>
  <c r="H2165" i="52"/>
  <c r="I2165" i="52" s="1"/>
  <c r="H2160" i="52"/>
  <c r="I2160" i="52" s="1"/>
  <c r="H2159" i="52"/>
  <c r="I2159" i="52" s="1"/>
  <c r="H2158" i="52"/>
  <c r="I2158" i="52" s="1"/>
  <c r="H2157" i="52"/>
  <c r="I2157" i="52" s="1"/>
  <c r="H2152" i="52"/>
  <c r="I2152" i="52" s="1"/>
  <c r="H2151" i="52"/>
  <c r="I2151" i="52" s="1"/>
  <c r="H2150" i="52"/>
  <c r="I2150" i="52" s="1"/>
  <c r="H2149" i="52"/>
  <c r="I2149" i="52" s="1"/>
  <c r="H2144" i="52"/>
  <c r="I2144" i="52" s="1"/>
  <c r="H2143" i="52"/>
  <c r="I2143" i="52" s="1"/>
  <c r="H2142" i="52"/>
  <c r="I2142" i="52" s="1"/>
  <c r="H2141" i="52"/>
  <c r="I2141" i="52" s="1"/>
  <c r="H2140" i="52"/>
  <c r="I2140" i="52" s="1"/>
  <c r="H2135" i="52"/>
  <c r="I2135" i="52" s="1"/>
  <c r="H2134" i="52"/>
  <c r="I2134" i="52" s="1"/>
  <c r="H2133" i="52"/>
  <c r="I2133" i="52" s="1"/>
  <c r="H2132" i="52"/>
  <c r="I2132" i="52" s="1"/>
  <c r="H2131" i="52"/>
  <c r="I2131" i="52" s="1"/>
  <c r="H2126" i="52"/>
  <c r="I2126" i="52" s="1"/>
  <c r="H2125" i="52"/>
  <c r="I2125" i="52" s="1"/>
  <c r="H2124" i="52"/>
  <c r="I2124" i="52" s="1"/>
  <c r="H2123" i="52"/>
  <c r="I2123" i="52" s="1"/>
  <c r="H2122" i="52"/>
  <c r="I2122" i="52" s="1"/>
  <c r="H2121" i="52"/>
  <c r="I2121" i="52" s="1"/>
  <c r="H2116" i="52"/>
  <c r="I2116" i="52" s="1"/>
  <c r="H2115" i="52"/>
  <c r="I2115" i="52" s="1"/>
  <c r="H2114" i="52"/>
  <c r="I2114" i="52" s="1"/>
  <c r="H2113" i="52"/>
  <c r="I2113" i="52" s="1"/>
  <c r="H2108" i="52"/>
  <c r="I2108" i="52" s="1"/>
  <c r="H2107" i="52"/>
  <c r="I2107" i="52" s="1"/>
  <c r="H2106" i="52"/>
  <c r="I2106" i="52" s="1"/>
  <c r="H2105" i="52"/>
  <c r="I2105" i="52" s="1"/>
  <c r="H2104" i="52"/>
  <c r="I2104" i="52" s="1"/>
  <c r="H2099" i="52"/>
  <c r="I2099" i="52" s="1"/>
  <c r="H2098" i="52"/>
  <c r="I2098" i="52" s="1"/>
  <c r="H2097" i="52"/>
  <c r="I2097" i="52" s="1"/>
  <c r="H2096" i="52"/>
  <c r="I2096" i="52" s="1"/>
  <c r="H2095" i="52"/>
  <c r="I2095" i="52" s="1"/>
  <c r="H2090" i="52"/>
  <c r="I2090" i="52" s="1"/>
  <c r="H2089" i="52"/>
  <c r="I2089" i="52" s="1"/>
  <c r="H2088" i="52"/>
  <c r="I2088" i="52" s="1"/>
  <c r="H2087" i="52"/>
  <c r="I2087" i="52" s="1"/>
  <c r="H2086" i="52"/>
  <c r="I2086" i="52" s="1"/>
  <c r="H2085" i="52"/>
  <c r="I2085" i="52" s="1"/>
  <c r="H2080" i="52"/>
  <c r="I2080" i="52" s="1"/>
  <c r="H2079" i="52"/>
  <c r="I2079" i="52" s="1"/>
  <c r="H2078" i="52"/>
  <c r="I2078" i="52" s="1"/>
  <c r="H2077" i="52"/>
  <c r="I2077" i="52" s="1"/>
  <c r="H2076" i="52"/>
  <c r="I2076" i="52" s="1"/>
  <c r="H2071" i="52"/>
  <c r="I2071" i="52" s="1"/>
  <c r="H2070" i="52"/>
  <c r="I2070" i="52" s="1"/>
  <c r="H2069" i="52"/>
  <c r="I2069" i="52" s="1"/>
  <c r="H2068" i="52"/>
  <c r="I2068" i="52" s="1"/>
  <c r="H2067" i="52"/>
  <c r="I2067" i="52" s="1"/>
  <c r="H2062" i="52"/>
  <c r="I2062" i="52" s="1"/>
  <c r="H2061" i="52"/>
  <c r="I2061" i="52" s="1"/>
  <c r="H2060" i="52"/>
  <c r="I2060" i="52" s="1"/>
  <c r="H2059" i="52"/>
  <c r="I2059" i="52" s="1"/>
  <c r="H2058" i="52"/>
  <c r="I2058" i="52" s="1"/>
  <c r="H2053" i="52"/>
  <c r="I2053" i="52" s="1"/>
  <c r="H2052" i="52"/>
  <c r="I2052" i="52" s="1"/>
  <c r="H2051" i="52"/>
  <c r="I2051" i="52" s="1"/>
  <c r="H2050" i="52"/>
  <c r="I2050" i="52" s="1"/>
  <c r="H2048" i="52"/>
  <c r="I2048" i="52" s="1"/>
  <c r="H2047" i="52"/>
  <c r="I2047" i="52" s="1"/>
  <c r="H2046" i="52"/>
  <c r="I2046" i="52" s="1"/>
  <c r="H2041" i="52"/>
  <c r="I2041" i="52" s="1"/>
  <c r="H2040" i="52"/>
  <c r="I2040" i="52" s="1"/>
  <c r="H2039" i="52"/>
  <c r="I2039" i="52" s="1"/>
  <c r="H2038" i="52"/>
  <c r="I2038" i="52" s="1"/>
  <c r="H2037" i="52"/>
  <c r="I2037" i="52" s="1"/>
  <c r="H2036" i="52"/>
  <c r="I2036" i="52" s="1"/>
  <c r="H2031" i="52"/>
  <c r="I2031" i="52" s="1"/>
  <c r="H2030" i="52"/>
  <c r="I2030" i="52" s="1"/>
  <c r="H2029" i="52"/>
  <c r="I2029" i="52" s="1"/>
  <c r="H2024" i="52"/>
  <c r="I2024" i="52" s="1"/>
  <c r="H2023" i="52"/>
  <c r="I2023" i="52" s="1"/>
  <c r="H2022" i="52"/>
  <c r="I2022" i="52" s="1"/>
  <c r="H2017" i="52"/>
  <c r="I2017" i="52" s="1"/>
  <c r="H2016" i="52"/>
  <c r="I2016" i="52" s="1"/>
  <c r="H2015" i="52"/>
  <c r="I2015" i="52" s="1"/>
  <c r="H2014" i="52"/>
  <c r="I2014" i="52" s="1"/>
  <c r="H2013" i="52"/>
  <c r="I2013" i="52" s="1"/>
  <c r="H2012" i="52"/>
  <c r="I2012" i="52" s="1"/>
  <c r="H2007" i="52"/>
  <c r="I2007" i="52" s="1"/>
  <c r="H2006" i="52"/>
  <c r="I2006" i="52" s="1"/>
  <c r="H2005" i="52"/>
  <c r="I2005" i="52" s="1"/>
  <c r="A1995" i="52"/>
  <c r="B1995" i="52" s="1"/>
  <c r="A1987" i="52"/>
  <c r="I1987" i="52" s="1"/>
  <c r="A1979" i="52"/>
  <c r="I1979" i="52" s="1"/>
  <c r="A1971" i="52"/>
  <c r="I1971" i="52" s="1"/>
  <c r="A1963" i="52"/>
  <c r="I1963" i="52" s="1"/>
  <c r="A1955" i="52"/>
  <c r="I1955" i="52" s="1"/>
  <c r="A1947" i="52"/>
  <c r="I1947" i="52" s="1"/>
  <c r="A1939" i="52"/>
  <c r="I1939" i="52" s="1"/>
  <c r="A1930" i="52"/>
  <c r="B1930" i="52" s="1"/>
  <c r="A1921" i="52"/>
  <c r="B1921" i="52" s="1"/>
  <c r="A1913" i="52"/>
  <c r="I1913" i="52" s="1"/>
  <c r="A1907" i="52"/>
  <c r="I1907" i="52" s="1"/>
  <c r="A1901" i="52"/>
  <c r="I1901" i="52" s="1"/>
  <c r="A1894" i="52"/>
  <c r="B1894" i="52" s="1"/>
  <c r="A1885" i="52"/>
  <c r="B1885" i="52" s="1"/>
  <c r="A1878" i="52"/>
  <c r="I1878" i="52" s="1"/>
  <c r="A1870" i="52"/>
  <c r="I1870" i="52" s="1"/>
  <c r="A1860" i="52"/>
  <c r="B1860" i="52" s="1"/>
  <c r="A1850" i="52"/>
  <c r="I1850" i="52" s="1"/>
  <c r="A1840" i="52"/>
  <c r="I1840" i="52" s="1"/>
  <c r="A1830" i="52"/>
  <c r="I1830" i="52" s="1"/>
  <c r="A1821" i="52"/>
  <c r="I1821" i="52" s="1"/>
  <c r="A1811" i="52"/>
  <c r="B1811" i="52" s="1"/>
  <c r="A1802" i="52"/>
  <c r="I1802" i="52" s="1"/>
  <c r="A1792" i="52"/>
  <c r="I1792" i="52" s="1"/>
  <c r="A1782" i="52"/>
  <c r="I1782" i="52" s="1"/>
  <c r="A1772" i="52"/>
  <c r="I1772" i="52" s="1"/>
  <c r="A1764" i="52"/>
  <c r="I1764" i="52" s="1"/>
  <c r="A1756" i="52"/>
  <c r="I1756" i="52" s="1"/>
  <c r="A1748" i="52"/>
  <c r="I1748" i="52" s="1"/>
  <c r="A1740" i="52"/>
  <c r="I1740" i="52" s="1"/>
  <c r="A1732" i="52"/>
  <c r="I1732" i="52" s="1"/>
  <c r="A1724" i="52"/>
  <c r="B1724" i="52" s="1"/>
  <c r="A1716" i="52"/>
  <c r="B1716" i="52" s="1"/>
  <c r="A1706" i="52"/>
  <c r="I1706" i="52" s="1"/>
  <c r="A1696" i="52"/>
  <c r="I1696" i="52" s="1"/>
  <c r="A1687" i="52"/>
  <c r="I1687" i="52" s="1"/>
  <c r="A1677" i="52"/>
  <c r="I1677" i="52" s="1"/>
  <c r="A1667" i="52"/>
  <c r="B1667" i="52" s="1"/>
  <c r="A1657" i="52"/>
  <c r="I1657" i="52" s="1"/>
  <c r="A1647" i="52"/>
  <c r="I1647" i="52" s="1"/>
  <c r="A1640" i="52"/>
  <c r="I1640" i="52" s="1"/>
  <c r="A1632" i="52"/>
  <c r="B1632" i="52" s="1"/>
  <c r="A1624" i="52"/>
  <c r="B1624" i="52" s="1"/>
  <c r="A1616" i="52"/>
  <c r="I1616" i="52" s="1"/>
  <c r="A1609" i="52"/>
  <c r="I1609" i="52" s="1"/>
  <c r="A1601" i="52"/>
  <c r="I1601" i="52" s="1"/>
  <c r="A1594" i="52"/>
  <c r="I1594" i="52" s="1"/>
  <c r="A1587" i="52"/>
  <c r="I1587" i="52" s="1"/>
  <c r="A1581" i="52"/>
  <c r="I1581" i="52" s="1"/>
  <c r="A1573" i="52"/>
  <c r="I1573" i="52" s="1"/>
  <c r="A1565" i="52"/>
  <c r="I1565" i="52" s="1"/>
  <c r="A1558" i="52"/>
  <c r="I1558" i="52" s="1"/>
  <c r="A1551" i="52"/>
  <c r="B1551" i="52" s="1"/>
  <c r="A1543" i="52"/>
  <c r="I1543" i="52" s="1"/>
  <c r="A1536" i="52"/>
  <c r="B1536" i="52" s="1"/>
  <c r="A1528" i="52"/>
  <c r="I1528" i="52" s="1"/>
  <c r="A1521" i="52"/>
  <c r="B1521" i="52" s="1"/>
  <c r="A1514" i="52"/>
  <c r="B1514" i="52" s="1"/>
  <c r="A1507" i="52"/>
  <c r="I1507" i="52" s="1"/>
  <c r="A1500" i="52"/>
  <c r="I1500" i="52" s="1"/>
  <c r="A1493" i="52"/>
  <c r="I1493" i="52" s="1"/>
  <c r="A1478" i="52"/>
  <c r="I1478" i="52" s="1"/>
  <c r="H1482" i="52"/>
  <c r="I1482" i="52" s="1"/>
  <c r="H1483" i="52"/>
  <c r="I1483" i="52" s="1"/>
  <c r="H1484" i="52"/>
  <c r="I1484" i="52" s="1"/>
  <c r="H1485" i="52"/>
  <c r="I1485" i="52" s="1"/>
  <c r="A1468" i="52"/>
  <c r="I1468" i="52" s="1"/>
  <c r="A1461" i="52"/>
  <c r="B1461" i="52" s="1"/>
  <c r="A1454" i="52"/>
  <c r="B1454" i="52" s="1"/>
  <c r="A1442" i="52"/>
  <c r="B1442" i="52" s="1"/>
  <c r="A1448" i="52"/>
  <c r="B1448" i="52" s="1"/>
  <c r="A1435" i="52"/>
  <c r="B1435" i="52" s="1"/>
  <c r="A1428" i="52"/>
  <c r="B1428" i="52" s="1"/>
  <c r="A1422" i="52"/>
  <c r="I1422" i="52" s="1"/>
  <c r="A1415" i="52"/>
  <c r="B1415" i="52" s="1"/>
  <c r="A1406" i="52"/>
  <c r="B1406" i="52" s="1"/>
  <c r="A1398" i="52"/>
  <c r="I1398" i="52" s="1"/>
  <c r="A1390" i="52"/>
  <c r="I1390" i="52" s="1"/>
  <c r="A1381" i="52"/>
  <c r="B1381" i="52" s="1"/>
  <c r="A1374" i="52"/>
  <c r="B1374" i="52" s="1"/>
  <c r="A1367" i="52"/>
  <c r="B1367" i="52" s="1"/>
  <c r="A1359" i="52"/>
  <c r="I1359" i="52" s="1"/>
  <c r="A1351" i="52"/>
  <c r="I1351" i="52" s="1"/>
  <c r="A1343" i="52"/>
  <c r="I1343" i="52" s="1"/>
  <c r="A1336" i="52"/>
  <c r="B1336" i="52" s="1"/>
  <c r="A1329" i="52"/>
  <c r="B1329" i="52" s="1"/>
  <c r="A1322" i="52"/>
  <c r="I1322" i="52" s="1"/>
  <c r="A1315" i="52"/>
  <c r="B1315" i="52" s="1"/>
  <c r="A1308" i="52"/>
  <c r="B1308" i="52" s="1"/>
  <c r="A1300" i="52"/>
  <c r="I1300" i="52" s="1"/>
  <c r="A1292" i="52"/>
  <c r="I1292" i="52" s="1"/>
  <c r="A1284" i="52"/>
  <c r="I1284" i="52" s="1"/>
  <c r="A1277" i="52"/>
  <c r="B1277" i="52" s="1"/>
  <c r="A1270" i="52"/>
  <c r="B1270" i="52" s="1"/>
  <c r="A1262" i="52"/>
  <c r="I1262" i="52" s="1"/>
  <c r="A1254" i="52"/>
  <c r="I1254" i="52" s="1"/>
  <c r="A1246" i="52"/>
  <c r="I1246" i="52" s="1"/>
  <c r="A1238" i="52"/>
  <c r="I1238" i="52" s="1"/>
  <c r="A1232" i="52"/>
  <c r="I1232" i="52" s="1"/>
  <c r="A1226" i="52"/>
  <c r="B1226" i="52" s="1"/>
  <c r="A1220" i="52"/>
  <c r="I1220" i="52" s="1"/>
  <c r="A1214" i="52"/>
  <c r="I1214" i="52" s="1"/>
  <c r="A1207" i="52"/>
  <c r="B1207" i="52" s="1"/>
  <c r="A1199" i="52"/>
  <c r="I1199" i="52" s="1"/>
  <c r="A1191" i="52"/>
  <c r="I1191" i="52" s="1"/>
  <c r="A1185" i="52"/>
  <c r="I1185" i="52" s="1"/>
  <c r="A1178" i="52"/>
  <c r="B1178" i="52" s="1"/>
  <c r="A1172" i="52"/>
  <c r="I1172" i="52" s="1"/>
  <c r="A1166" i="52"/>
  <c r="I1166" i="52" s="1"/>
  <c r="A1159" i="52"/>
  <c r="B1159" i="52" s="1"/>
  <c r="A1152" i="52"/>
  <c r="B1152" i="52" s="1"/>
  <c r="A1144" i="52"/>
  <c r="I1144" i="52" s="1"/>
  <c r="A1136" i="52"/>
  <c r="I1136" i="52" s="1"/>
  <c r="A1128" i="52"/>
  <c r="I1128" i="52" s="1"/>
  <c r="A1120" i="52"/>
  <c r="B1120" i="52" s="1"/>
  <c r="A1112" i="52"/>
  <c r="B1112" i="52" s="1"/>
  <c r="A1104" i="52"/>
  <c r="I1104" i="52" s="1"/>
  <c r="A1096" i="52"/>
  <c r="I1096" i="52" s="1"/>
  <c r="A1088" i="52"/>
  <c r="I1088" i="52" s="1"/>
  <c r="A1080" i="52"/>
  <c r="I1080" i="52" s="1"/>
  <c r="A1072" i="52"/>
  <c r="I1072" i="52" s="1"/>
  <c r="A1064" i="52"/>
  <c r="I1064" i="52" s="1"/>
  <c r="A1056" i="52"/>
  <c r="I1056" i="52" s="1"/>
  <c r="A1046" i="52"/>
  <c r="I1046" i="52" s="1"/>
  <c r="A1039" i="52"/>
  <c r="B1039" i="52" s="1"/>
  <c r="A1032" i="52"/>
  <c r="B1032" i="52" s="1"/>
  <c r="A1025" i="52"/>
  <c r="B1025" i="52" s="1"/>
  <c r="A1008" i="52"/>
  <c r="B1008" i="52" s="1"/>
  <c r="H1011" i="52"/>
  <c r="I1011" i="52" s="1"/>
  <c r="H1012" i="52"/>
  <c r="I1012" i="52" s="1"/>
  <c r="H1013" i="52"/>
  <c r="I1013" i="52" s="1"/>
  <c r="H1014" i="52"/>
  <c r="I1014" i="52" s="1"/>
  <c r="H1015" i="52"/>
  <c r="I1015" i="52" s="1"/>
  <c r="H1016" i="52"/>
  <c r="I1016" i="52" s="1"/>
  <c r="A1001" i="52"/>
  <c r="B1001" i="52" s="1"/>
  <c r="A993" i="52"/>
  <c r="I993" i="52" s="1"/>
  <c r="A986" i="52"/>
  <c r="B986" i="52" s="1"/>
  <c r="A979" i="52"/>
  <c r="B979" i="52" s="1"/>
  <c r="A972" i="52"/>
  <c r="B972" i="52" s="1"/>
  <c r="A965" i="52"/>
  <c r="B965" i="52" s="1"/>
  <c r="A958" i="52"/>
  <c r="B958" i="52" s="1"/>
  <c r="A951" i="52"/>
  <c r="B951" i="52" s="1"/>
  <c r="A944" i="52"/>
  <c r="B944" i="52" s="1"/>
  <c r="A936" i="52"/>
  <c r="I936" i="52" s="1"/>
  <c r="A931" i="52"/>
  <c r="B931" i="52" s="1"/>
  <c r="A925" i="52"/>
  <c r="I925" i="52" s="1"/>
  <c r="A920" i="52"/>
  <c r="I920" i="52" s="1"/>
  <c r="A911" i="52"/>
  <c r="I911" i="52" s="1"/>
  <c r="A902" i="52"/>
  <c r="B902" i="52" s="1"/>
  <c r="A892" i="52"/>
  <c r="B892" i="52" s="1"/>
  <c r="A884" i="52"/>
  <c r="I884" i="52" s="1"/>
  <c r="A876" i="52"/>
  <c r="I876" i="52" s="1"/>
  <c r="A866" i="52"/>
  <c r="B866" i="52" s="1"/>
  <c r="A861" i="52"/>
  <c r="I861" i="52" s="1"/>
  <c r="A853" i="52"/>
  <c r="I853" i="52" s="1"/>
  <c r="A847" i="52"/>
  <c r="I847" i="52" s="1"/>
  <c r="A838" i="52"/>
  <c r="B838" i="52" s="1"/>
  <c r="A829" i="52"/>
  <c r="B829" i="52" s="1"/>
  <c r="A822" i="52"/>
  <c r="B822" i="52" s="1"/>
  <c r="A815" i="52"/>
  <c r="B815" i="52" s="1"/>
  <c r="A806" i="52"/>
  <c r="B806" i="52" s="1"/>
  <c r="A799" i="52"/>
  <c r="I799" i="52" s="1"/>
  <c r="A792" i="52"/>
  <c r="I792" i="52" s="1"/>
  <c r="A785" i="52"/>
  <c r="B785" i="52" s="1"/>
  <c r="A778" i="52"/>
  <c r="I778" i="52" s="1"/>
  <c r="A771" i="52"/>
  <c r="B771" i="52" s="1"/>
  <c r="A762" i="52"/>
  <c r="B762" i="52" s="1"/>
  <c r="A753" i="52"/>
  <c r="B753" i="52" s="1"/>
  <c r="A744" i="52"/>
  <c r="I744" i="52" s="1"/>
  <c r="A735" i="52"/>
  <c r="B735" i="52" s="1"/>
  <c r="A728" i="52"/>
  <c r="B728" i="52" s="1"/>
  <c r="A721" i="52"/>
  <c r="B721" i="52" s="1"/>
  <c r="A716" i="52"/>
  <c r="B716" i="52" s="1"/>
  <c r="A706" i="52"/>
  <c r="I706" i="52" s="1"/>
  <c r="A696" i="52"/>
  <c r="I696" i="52" s="1"/>
  <c r="A684" i="52"/>
  <c r="B684" i="52" s="1"/>
  <c r="H688" i="52"/>
  <c r="I688" i="52" s="1"/>
  <c r="A672" i="52"/>
  <c r="I672" i="52" s="1"/>
  <c r="H676" i="52"/>
  <c r="I676" i="52" s="1"/>
  <c r="A660" i="52"/>
  <c r="I660" i="52" s="1"/>
  <c r="H664" i="52"/>
  <c r="I664" i="52" s="1"/>
  <c r="A648" i="52"/>
  <c r="I648" i="52" s="1"/>
  <c r="H653" i="52"/>
  <c r="I653" i="52" s="1"/>
  <c r="A640" i="52"/>
  <c r="B640" i="52" s="1"/>
  <c r="A630" i="52"/>
  <c r="I630" i="52" s="1"/>
  <c r="A621" i="52"/>
  <c r="B621" i="52" s="1"/>
  <c r="A612" i="52"/>
  <c r="B612" i="52" s="1"/>
  <c r="A601" i="52"/>
  <c r="I601" i="52" s="1"/>
  <c r="A592" i="52"/>
  <c r="I592" i="52" s="1"/>
  <c r="A583" i="52"/>
  <c r="I583" i="52" s="1"/>
  <c r="A571" i="52"/>
  <c r="I571" i="52" s="1"/>
  <c r="H578" i="52"/>
  <c r="I578" i="52" s="1"/>
  <c r="A557" i="52"/>
  <c r="B557" i="52" s="1"/>
  <c r="H563" i="52"/>
  <c r="I563" i="52" s="1"/>
  <c r="H564" i="52"/>
  <c r="I564" i="52" s="1"/>
  <c r="H565" i="52"/>
  <c r="I565" i="52" s="1"/>
  <c r="A548" i="52"/>
  <c r="I548" i="52" s="1"/>
  <c r="A539" i="52"/>
  <c r="B539" i="52" s="1"/>
  <c r="A530" i="52"/>
  <c r="I530" i="52" s="1"/>
  <c r="A521" i="52"/>
  <c r="I521" i="52" s="1"/>
  <c r="A512" i="52"/>
  <c r="I512" i="52" s="1"/>
  <c r="A502" i="52"/>
  <c r="I502" i="52" s="1"/>
  <c r="A491" i="52"/>
  <c r="I491" i="52" s="1"/>
  <c r="A485" i="52"/>
  <c r="B485" i="52" s="1"/>
  <c r="A474" i="52"/>
  <c r="B474" i="52" s="1"/>
  <c r="A465" i="52"/>
  <c r="B465" i="52" s="1"/>
  <c r="A456" i="52"/>
  <c r="I456" i="52" s="1"/>
  <c r="A447" i="52"/>
  <c r="I447" i="52" s="1"/>
  <c r="A438" i="52"/>
  <c r="I438" i="52" s="1"/>
  <c r="A429" i="52"/>
  <c r="B429" i="52" s="1"/>
  <c r="A418" i="52"/>
  <c r="I418" i="52" s="1"/>
  <c r="A404" i="52"/>
  <c r="I404" i="52" s="1"/>
  <c r="H407" i="52"/>
  <c r="I407" i="52" s="1"/>
  <c r="H408" i="52"/>
  <c r="I408" i="52" s="1"/>
  <c r="H409" i="52"/>
  <c r="I409" i="52" s="1"/>
  <c r="A399" i="52"/>
  <c r="I399" i="52" s="1"/>
  <c r="A393" i="52"/>
  <c r="I393" i="52" s="1"/>
  <c r="A380" i="52"/>
  <c r="I380" i="52" s="1"/>
  <c r="H383" i="52"/>
  <c r="I383" i="52" s="1"/>
  <c r="H384" i="52"/>
  <c r="I384" i="52" s="1"/>
  <c r="H385" i="52"/>
  <c r="I385" i="52" s="1"/>
  <c r="H386" i="52"/>
  <c r="I386" i="52" s="1"/>
  <c r="A372" i="52"/>
  <c r="I372" i="52" s="1"/>
  <c r="A362" i="52"/>
  <c r="B362" i="52" s="1"/>
  <c r="A350" i="52"/>
  <c r="B350" i="52" s="1"/>
  <c r="H354" i="52"/>
  <c r="I354" i="52" s="1"/>
  <c r="A272" i="52"/>
  <c r="B272" i="52" s="1"/>
  <c r="H275" i="52"/>
  <c r="I275" i="52" s="1"/>
  <c r="H276" i="52"/>
  <c r="I276" i="52" s="1"/>
  <c r="H277" i="52"/>
  <c r="I277" i="52" s="1"/>
  <c r="H278" i="52"/>
  <c r="I278" i="52" s="1"/>
  <c r="H279" i="52"/>
  <c r="I279" i="52" s="1"/>
  <c r="H280" i="52"/>
  <c r="I280" i="52" s="1"/>
  <c r="H281" i="52"/>
  <c r="I281" i="52" s="1"/>
  <c r="H282" i="52"/>
  <c r="I282" i="52" s="1"/>
  <c r="H283" i="52"/>
  <c r="I283" i="52" s="1"/>
  <c r="H284" i="52"/>
  <c r="I284" i="52" s="1"/>
  <c r="H285" i="52"/>
  <c r="I285" i="52" s="1"/>
  <c r="H286" i="52"/>
  <c r="I286" i="52" s="1"/>
  <c r="H287" i="52"/>
  <c r="I287" i="52" s="1"/>
  <c r="H288" i="52"/>
  <c r="I288" i="52" s="1"/>
  <c r="H289" i="52"/>
  <c r="I289" i="52" s="1"/>
  <c r="H290" i="52"/>
  <c r="I290" i="52" s="1"/>
  <c r="H291" i="52"/>
  <c r="I291" i="52" s="1"/>
  <c r="H292" i="52"/>
  <c r="I292" i="52" s="1"/>
  <c r="H293" i="52"/>
  <c r="I293" i="52" s="1"/>
  <c r="H294" i="52"/>
  <c r="I294" i="52" s="1"/>
  <c r="H295" i="52"/>
  <c r="I295" i="52" s="1"/>
  <c r="H296" i="52"/>
  <c r="I296" i="52" s="1"/>
  <c r="H297" i="52"/>
  <c r="I297" i="52" s="1"/>
  <c r="H298" i="52"/>
  <c r="I298" i="52" s="1"/>
  <c r="H299" i="52"/>
  <c r="I299" i="52" s="1"/>
  <c r="H300" i="52"/>
  <c r="I300" i="52" s="1"/>
  <c r="H301" i="52"/>
  <c r="I301" i="52" s="1"/>
  <c r="H302" i="52"/>
  <c r="I302" i="52" s="1"/>
  <c r="H303" i="52"/>
  <c r="I303" i="52" s="1"/>
  <c r="H304" i="52"/>
  <c r="I304" i="52" s="1"/>
  <c r="H305" i="52"/>
  <c r="I305" i="52" s="1"/>
  <c r="H306" i="52"/>
  <c r="I306" i="52" s="1"/>
  <c r="H307" i="52"/>
  <c r="I307" i="52" s="1"/>
  <c r="H308" i="52"/>
  <c r="I308" i="52" s="1"/>
  <c r="H309" i="52"/>
  <c r="I309" i="52" s="1"/>
  <c r="H310" i="52"/>
  <c r="I310" i="52" s="1"/>
  <c r="H311" i="52"/>
  <c r="I311" i="52" s="1"/>
  <c r="H312" i="52"/>
  <c r="I312" i="52" s="1"/>
  <c r="H313" i="52"/>
  <c r="I313" i="52" s="1"/>
  <c r="H314" i="52"/>
  <c r="I314" i="52" s="1"/>
  <c r="H315" i="52"/>
  <c r="I315" i="52" s="1"/>
  <c r="H316" i="52"/>
  <c r="I316" i="52" s="1"/>
  <c r="H317" i="52"/>
  <c r="I317" i="52" s="1"/>
  <c r="H318" i="52"/>
  <c r="I318" i="52" s="1"/>
  <c r="H319" i="52"/>
  <c r="I319" i="52" s="1"/>
  <c r="H320" i="52"/>
  <c r="I320" i="52" s="1"/>
  <c r="H321" i="52"/>
  <c r="I321" i="52" s="1"/>
  <c r="H322" i="52"/>
  <c r="I322" i="52" s="1"/>
  <c r="H323" i="52"/>
  <c r="I323" i="52" s="1"/>
  <c r="H324" i="52"/>
  <c r="I324" i="52" s="1"/>
  <c r="H325" i="52"/>
  <c r="I325" i="52" s="1"/>
  <c r="H326" i="52"/>
  <c r="I326" i="52" s="1"/>
  <c r="H327" i="52"/>
  <c r="I327" i="52" s="1"/>
  <c r="H328" i="52"/>
  <c r="I328" i="52" s="1"/>
  <c r="H329" i="52"/>
  <c r="I329" i="52" s="1"/>
  <c r="H330" i="52"/>
  <c r="I330" i="52" s="1"/>
  <c r="H331" i="52"/>
  <c r="I331" i="52" s="1"/>
  <c r="H332" i="52"/>
  <c r="I332" i="52" s="1"/>
  <c r="H333" i="52"/>
  <c r="I333" i="52" s="1"/>
  <c r="H334" i="52"/>
  <c r="I334" i="52" s="1"/>
  <c r="H335" i="52"/>
  <c r="I335" i="52" s="1"/>
  <c r="H336" i="52"/>
  <c r="I336" i="52" s="1"/>
  <c r="H337" i="52"/>
  <c r="I337" i="52" s="1"/>
  <c r="H338" i="52"/>
  <c r="I338" i="52" s="1"/>
  <c r="H339" i="52"/>
  <c r="I339" i="52" s="1"/>
  <c r="H340" i="52"/>
  <c r="I340" i="52" s="1"/>
  <c r="H341" i="52"/>
  <c r="I341" i="52" s="1"/>
  <c r="A225" i="52"/>
  <c r="I225" i="52" s="1"/>
  <c r="H228" i="52"/>
  <c r="I228" i="52" s="1"/>
  <c r="H229" i="52"/>
  <c r="I229" i="52" s="1"/>
  <c r="H230" i="52"/>
  <c r="I230" i="52" s="1"/>
  <c r="H231" i="52"/>
  <c r="I231" i="52" s="1"/>
  <c r="H232" i="52"/>
  <c r="I232" i="52" s="1"/>
  <c r="H233" i="52"/>
  <c r="I233" i="52" s="1"/>
  <c r="H234" i="52"/>
  <c r="I234" i="52" s="1"/>
  <c r="H235" i="52"/>
  <c r="I235" i="52" s="1"/>
  <c r="H236" i="52"/>
  <c r="I236" i="52" s="1"/>
  <c r="H237" i="52"/>
  <c r="I237" i="52" s="1"/>
  <c r="H238" i="52"/>
  <c r="I238" i="52" s="1"/>
  <c r="H239" i="52"/>
  <c r="I239" i="52" s="1"/>
  <c r="H240" i="52"/>
  <c r="I240" i="52" s="1"/>
  <c r="H241" i="52"/>
  <c r="I241" i="52" s="1"/>
  <c r="H242" i="52"/>
  <c r="I242" i="52" s="1"/>
  <c r="H243" i="52"/>
  <c r="I243" i="52" s="1"/>
  <c r="H244" i="52"/>
  <c r="I244" i="52" s="1"/>
  <c r="H245" i="52"/>
  <c r="I245" i="52" s="1"/>
  <c r="H246" i="52"/>
  <c r="I246" i="52" s="1"/>
  <c r="H247" i="52"/>
  <c r="I247" i="52" s="1"/>
  <c r="H248" i="52"/>
  <c r="I248" i="52" s="1"/>
  <c r="H249" i="52"/>
  <c r="I249" i="52" s="1"/>
  <c r="H250" i="52"/>
  <c r="I250" i="52" s="1"/>
  <c r="H251" i="52"/>
  <c r="I251" i="52" s="1"/>
  <c r="H252" i="52"/>
  <c r="I252" i="52" s="1"/>
  <c r="H253" i="52"/>
  <c r="I253" i="52" s="1"/>
  <c r="H254" i="52"/>
  <c r="I254" i="52" s="1"/>
  <c r="H255" i="52"/>
  <c r="I255" i="52" s="1"/>
  <c r="H256" i="52"/>
  <c r="I256" i="52" s="1"/>
  <c r="H257" i="52"/>
  <c r="I257" i="52" s="1"/>
  <c r="H258" i="52"/>
  <c r="I258" i="52" s="1"/>
  <c r="H259" i="52"/>
  <c r="I259" i="52" s="1"/>
  <c r="H260" i="52"/>
  <c r="I260" i="52" s="1"/>
  <c r="H261" i="52"/>
  <c r="I261" i="52" s="1"/>
  <c r="H262" i="52"/>
  <c r="I262" i="52" s="1"/>
  <c r="H263" i="52"/>
  <c r="I263" i="52" s="1"/>
  <c r="A179" i="52"/>
  <c r="B179" i="52" s="1"/>
  <c r="H182" i="52"/>
  <c r="I182" i="52" s="1"/>
  <c r="H183" i="52"/>
  <c r="I183" i="52" s="1"/>
  <c r="H184" i="52"/>
  <c r="I184" i="52" s="1"/>
  <c r="H185" i="52"/>
  <c r="I185" i="52" s="1"/>
  <c r="H186" i="52"/>
  <c r="I186" i="52" s="1"/>
  <c r="H187" i="52"/>
  <c r="I187" i="52" s="1"/>
  <c r="H188" i="52"/>
  <c r="I188" i="52" s="1"/>
  <c r="H189" i="52"/>
  <c r="I189" i="52" s="1"/>
  <c r="H190" i="52"/>
  <c r="I190" i="52" s="1"/>
  <c r="H191" i="52"/>
  <c r="I191" i="52" s="1"/>
  <c r="H192" i="52"/>
  <c r="I192" i="52" s="1"/>
  <c r="H193" i="52"/>
  <c r="I193" i="52" s="1"/>
  <c r="H194" i="52"/>
  <c r="I194" i="52" s="1"/>
  <c r="H195" i="52"/>
  <c r="I195" i="52" s="1"/>
  <c r="H196" i="52"/>
  <c r="I196" i="52" s="1"/>
  <c r="H197" i="52"/>
  <c r="I197" i="52" s="1"/>
  <c r="H198" i="52"/>
  <c r="I198" i="52" s="1"/>
  <c r="H199" i="52"/>
  <c r="I199" i="52" s="1"/>
  <c r="H200" i="52"/>
  <c r="I200" i="52" s="1"/>
  <c r="H201" i="52"/>
  <c r="I201" i="52" s="1"/>
  <c r="H202" i="52"/>
  <c r="I202" i="52" s="1"/>
  <c r="H203" i="52"/>
  <c r="I203" i="52" s="1"/>
  <c r="H204" i="52"/>
  <c r="I204" i="52" s="1"/>
  <c r="H205" i="52"/>
  <c r="I205" i="52" s="1"/>
  <c r="H206" i="52"/>
  <c r="I206" i="52" s="1"/>
  <c r="H207" i="52"/>
  <c r="I207" i="52" s="1"/>
  <c r="H208" i="52"/>
  <c r="I208" i="52" s="1"/>
  <c r="H209" i="52"/>
  <c r="I209" i="52" s="1"/>
  <c r="H210" i="52"/>
  <c r="I210" i="52" s="1"/>
  <c r="H211" i="52"/>
  <c r="I211" i="52" s="1"/>
  <c r="H212" i="52"/>
  <c r="I212" i="52" s="1"/>
  <c r="H213" i="52"/>
  <c r="I213" i="52" s="1"/>
  <c r="H214" i="52"/>
  <c r="I214" i="52" s="1"/>
  <c r="H215" i="52"/>
  <c r="I215" i="52" s="1"/>
  <c r="H216" i="52"/>
  <c r="I216" i="52" s="1"/>
  <c r="A99" i="52"/>
  <c r="H102" i="52"/>
  <c r="I102" i="52" s="1"/>
  <c r="H103" i="52"/>
  <c r="I103" i="52" s="1"/>
  <c r="H104" i="52"/>
  <c r="I104" i="52" s="1"/>
  <c r="H105" i="52"/>
  <c r="I105" i="52" s="1"/>
  <c r="H106" i="52"/>
  <c r="I106" i="52" s="1"/>
  <c r="H107" i="52"/>
  <c r="I107" i="52" s="1"/>
  <c r="H108" i="52"/>
  <c r="I108" i="52" s="1"/>
  <c r="H109" i="52"/>
  <c r="I109" i="52" s="1"/>
  <c r="H110" i="52"/>
  <c r="I110" i="52" s="1"/>
  <c r="H111" i="52"/>
  <c r="I111" i="52" s="1"/>
  <c r="H112" i="52"/>
  <c r="I112" i="52" s="1"/>
  <c r="H113" i="52"/>
  <c r="I113" i="52" s="1"/>
  <c r="H114" i="52"/>
  <c r="I114" i="52" s="1"/>
  <c r="H115" i="52"/>
  <c r="I115" i="52" s="1"/>
  <c r="H116" i="52"/>
  <c r="I116" i="52" s="1"/>
  <c r="H117" i="52"/>
  <c r="I117" i="52" s="1"/>
  <c r="H118" i="52"/>
  <c r="I118" i="52" s="1"/>
  <c r="H119" i="52"/>
  <c r="I119" i="52" s="1"/>
  <c r="H120" i="52"/>
  <c r="I120" i="52" s="1"/>
  <c r="H121" i="52"/>
  <c r="I121" i="52" s="1"/>
  <c r="H122" i="52"/>
  <c r="I122" i="52" s="1"/>
  <c r="H123" i="52"/>
  <c r="I123" i="52" s="1"/>
  <c r="H124" i="52"/>
  <c r="I124" i="52" s="1"/>
  <c r="H125" i="52"/>
  <c r="I125" i="52" s="1"/>
  <c r="H126" i="52"/>
  <c r="I126" i="52" s="1"/>
  <c r="H127" i="52"/>
  <c r="I127" i="52" s="1"/>
  <c r="H128" i="52"/>
  <c r="I128" i="52" s="1"/>
  <c r="H129" i="52"/>
  <c r="I129" i="52" s="1"/>
  <c r="H130" i="52"/>
  <c r="I130" i="52" s="1"/>
  <c r="H131" i="52"/>
  <c r="I131" i="52" s="1"/>
  <c r="H132" i="52"/>
  <c r="I132" i="52" s="1"/>
  <c r="H133" i="52"/>
  <c r="I133" i="52" s="1"/>
  <c r="H134" i="52"/>
  <c r="I134" i="52" s="1"/>
  <c r="H135" i="52"/>
  <c r="I135" i="52" s="1"/>
  <c r="H136" i="52"/>
  <c r="I136" i="52" s="1"/>
  <c r="H137" i="52"/>
  <c r="I137" i="52" s="1"/>
  <c r="H138" i="52"/>
  <c r="I138" i="52" s="1"/>
  <c r="H139" i="52"/>
  <c r="I139" i="52" s="1"/>
  <c r="H140" i="52"/>
  <c r="I140" i="52" s="1"/>
  <c r="H141" i="52"/>
  <c r="I141" i="52" s="1"/>
  <c r="H142" i="52"/>
  <c r="I142" i="52" s="1"/>
  <c r="H143" i="52"/>
  <c r="I143" i="52" s="1"/>
  <c r="H144" i="52"/>
  <c r="I144" i="52" s="1"/>
  <c r="H145" i="52"/>
  <c r="I145" i="52" s="1"/>
  <c r="H146" i="52"/>
  <c r="I146" i="52" s="1"/>
  <c r="H147" i="52"/>
  <c r="I147" i="52" s="1"/>
  <c r="H148" i="52"/>
  <c r="I148" i="52" s="1"/>
  <c r="H149" i="52"/>
  <c r="I149" i="52" s="1"/>
  <c r="H150" i="52"/>
  <c r="I150" i="52" s="1"/>
  <c r="H151" i="52"/>
  <c r="I151" i="52" s="1"/>
  <c r="H152" i="52"/>
  <c r="I152" i="52" s="1"/>
  <c r="H153" i="52"/>
  <c r="I153" i="52" s="1"/>
  <c r="H154" i="52"/>
  <c r="I154" i="52" s="1"/>
  <c r="H155" i="52"/>
  <c r="I155" i="52" s="1"/>
  <c r="H156" i="52"/>
  <c r="I156" i="52" s="1"/>
  <c r="H157" i="52"/>
  <c r="I157" i="52" s="1"/>
  <c r="H158" i="52"/>
  <c r="I158" i="52" s="1"/>
  <c r="H159" i="52"/>
  <c r="I159" i="52" s="1"/>
  <c r="H160" i="52"/>
  <c r="I160" i="52" s="1"/>
  <c r="H161" i="52"/>
  <c r="I161" i="52" s="1"/>
  <c r="H162" i="52"/>
  <c r="I162" i="52" s="1"/>
  <c r="H163" i="52"/>
  <c r="I163" i="52" s="1"/>
  <c r="H164" i="52"/>
  <c r="I164" i="52" s="1"/>
  <c r="H165" i="52"/>
  <c r="I165" i="52" s="1"/>
  <c r="H166" i="52"/>
  <c r="I166" i="52" s="1"/>
  <c r="H167" i="52"/>
  <c r="I167" i="52" s="1"/>
  <c r="H168" i="52"/>
  <c r="I168" i="52" s="1"/>
  <c r="H169" i="52"/>
  <c r="I169" i="52" s="1"/>
  <c r="H170" i="52"/>
  <c r="I170" i="52" s="1"/>
  <c r="A76" i="52"/>
  <c r="B76" i="52" s="1"/>
  <c r="H80" i="52"/>
  <c r="I80" i="52" s="1"/>
  <c r="H81" i="52"/>
  <c r="I81" i="52" s="1"/>
  <c r="H82" i="52"/>
  <c r="I82" i="52" s="1"/>
  <c r="H83" i="52"/>
  <c r="I83" i="52" s="1"/>
  <c r="H84" i="52"/>
  <c r="I84" i="52" s="1"/>
  <c r="H85" i="52"/>
  <c r="I85" i="52" s="1"/>
  <c r="H86" i="52"/>
  <c r="I86" i="52" s="1"/>
  <c r="H87" i="52"/>
  <c r="I87" i="52" s="1"/>
  <c r="H88" i="52"/>
  <c r="I88" i="52" s="1"/>
  <c r="H89" i="52"/>
  <c r="I89" i="52" s="1"/>
  <c r="H90" i="52"/>
  <c r="I90" i="52" s="1"/>
  <c r="H91" i="52"/>
  <c r="I91" i="52" s="1"/>
  <c r="A61" i="52"/>
  <c r="I61" i="52" s="1"/>
  <c r="H64" i="52"/>
  <c r="I64" i="52" s="1"/>
  <c r="H65" i="52"/>
  <c r="I65" i="52" s="1"/>
  <c r="H66" i="52"/>
  <c r="I66" i="52" s="1"/>
  <c r="H67" i="52"/>
  <c r="I67" i="52" s="1"/>
  <c r="A48" i="52"/>
  <c r="I48" i="52" s="1"/>
  <c r="H51" i="52"/>
  <c r="I51" i="52" s="1"/>
  <c r="H52" i="52"/>
  <c r="I52" i="52" s="1"/>
  <c r="A42" i="52"/>
  <c r="I42" i="52" s="1"/>
  <c r="A34" i="52"/>
  <c r="H2000" i="52"/>
  <c r="I2000" i="52" s="1"/>
  <c r="H1999" i="52"/>
  <c r="I1999" i="52" s="1"/>
  <c r="H1998" i="52"/>
  <c r="I1998" i="52" s="1"/>
  <c r="H1997" i="52"/>
  <c r="I1997" i="52" s="1"/>
  <c r="H1992" i="52"/>
  <c r="I1992" i="52" s="1"/>
  <c r="H1991" i="52"/>
  <c r="I1991" i="52" s="1"/>
  <c r="H1990" i="52"/>
  <c r="I1990" i="52" s="1"/>
  <c r="H1989" i="52"/>
  <c r="I1989" i="52" s="1"/>
  <c r="H1984" i="52"/>
  <c r="I1984" i="52" s="1"/>
  <c r="H1983" i="52"/>
  <c r="I1983" i="52" s="1"/>
  <c r="H1982" i="52"/>
  <c r="I1982" i="52" s="1"/>
  <c r="H1981" i="52"/>
  <c r="I1981" i="52" s="1"/>
  <c r="H1976" i="52"/>
  <c r="I1976" i="52" s="1"/>
  <c r="H1975" i="52"/>
  <c r="I1975" i="52" s="1"/>
  <c r="H1974" i="52"/>
  <c r="I1974" i="52" s="1"/>
  <c r="H1973" i="52"/>
  <c r="I1973" i="52" s="1"/>
  <c r="H1968" i="52"/>
  <c r="I1968" i="52" s="1"/>
  <c r="H1967" i="52"/>
  <c r="I1967" i="52" s="1"/>
  <c r="H1966" i="52"/>
  <c r="I1966" i="52" s="1"/>
  <c r="H1965" i="52"/>
  <c r="I1965" i="52" s="1"/>
  <c r="H1960" i="52"/>
  <c r="I1960" i="52" s="1"/>
  <c r="H1959" i="52"/>
  <c r="I1959" i="52" s="1"/>
  <c r="H1958" i="52"/>
  <c r="I1958" i="52" s="1"/>
  <c r="H1957" i="52"/>
  <c r="I1957" i="52" s="1"/>
  <c r="H1952" i="52"/>
  <c r="I1952" i="52" s="1"/>
  <c r="H1951" i="52"/>
  <c r="I1951" i="52" s="1"/>
  <c r="H1950" i="52"/>
  <c r="I1950" i="52" s="1"/>
  <c r="H1949" i="52"/>
  <c r="I1949" i="52" s="1"/>
  <c r="H1944" i="52"/>
  <c r="I1944" i="52" s="1"/>
  <c r="H1943" i="52"/>
  <c r="I1943" i="52" s="1"/>
  <c r="H1942" i="52"/>
  <c r="I1942" i="52" s="1"/>
  <c r="H1941" i="52"/>
  <c r="I1941" i="52" s="1"/>
  <c r="H1936" i="52"/>
  <c r="I1936" i="52" s="1"/>
  <c r="H1935" i="52"/>
  <c r="I1935" i="52" s="1"/>
  <c r="H1934" i="52"/>
  <c r="I1934" i="52" s="1"/>
  <c r="H1933" i="52"/>
  <c r="I1933" i="52" s="1"/>
  <c r="H1932" i="52"/>
  <c r="I1932" i="52" s="1"/>
  <c r="H1927" i="52"/>
  <c r="I1927" i="52" s="1"/>
  <c r="H1926" i="52"/>
  <c r="I1926" i="52" s="1"/>
  <c r="H1925" i="52"/>
  <c r="I1925" i="52" s="1"/>
  <c r="H1924" i="52"/>
  <c r="I1924" i="52" s="1"/>
  <c r="H1923" i="52"/>
  <c r="I1923" i="52" s="1"/>
  <c r="H1918" i="52"/>
  <c r="I1918" i="52" s="1"/>
  <c r="H1917" i="52"/>
  <c r="I1917" i="52" s="1"/>
  <c r="H1916" i="52"/>
  <c r="I1916" i="52" s="1"/>
  <c r="H1915" i="52"/>
  <c r="I1915" i="52" s="1"/>
  <c r="H1910" i="52"/>
  <c r="I1910" i="52" s="1"/>
  <c r="H1909" i="52"/>
  <c r="I1909" i="52" s="1"/>
  <c r="H1904" i="52"/>
  <c r="I1904" i="52" s="1"/>
  <c r="H1903" i="52"/>
  <c r="I1903" i="52" s="1"/>
  <c r="H1898" i="52"/>
  <c r="I1898" i="52" s="1"/>
  <c r="H1897" i="52"/>
  <c r="I1897" i="52" s="1"/>
  <c r="H1896" i="52"/>
  <c r="I1896" i="52" s="1"/>
  <c r="H1891" i="52"/>
  <c r="I1891" i="52" s="1"/>
  <c r="H1890" i="52"/>
  <c r="I1890" i="52" s="1"/>
  <c r="H1889" i="52"/>
  <c r="I1889" i="52" s="1"/>
  <c r="H1888" i="52"/>
  <c r="I1888" i="52" s="1"/>
  <c r="H1887" i="52"/>
  <c r="I1887" i="52" s="1"/>
  <c r="H1882" i="52"/>
  <c r="I1882" i="52" s="1"/>
  <c r="H1881" i="52"/>
  <c r="I1881" i="52" s="1"/>
  <c r="H1880" i="52"/>
  <c r="I1880" i="52" s="1"/>
  <c r="H1875" i="52"/>
  <c r="I1875" i="52" s="1"/>
  <c r="H1874" i="52"/>
  <c r="I1874" i="52" s="1"/>
  <c r="H1873" i="52"/>
  <c r="I1873" i="52" s="1"/>
  <c r="H1872" i="52"/>
  <c r="I1872" i="52" s="1"/>
  <c r="H1867" i="52"/>
  <c r="I1867" i="52" s="1"/>
  <c r="H1866" i="52"/>
  <c r="I1866" i="52" s="1"/>
  <c r="H1865" i="52"/>
  <c r="I1865" i="52" s="1"/>
  <c r="H1864" i="52"/>
  <c r="I1864" i="52" s="1"/>
  <c r="H1863" i="52"/>
  <c r="I1863" i="52" s="1"/>
  <c r="H1862" i="52"/>
  <c r="I1862" i="52" s="1"/>
  <c r="H1857" i="52"/>
  <c r="I1857" i="52" s="1"/>
  <c r="H1856" i="52"/>
  <c r="I1856" i="52" s="1"/>
  <c r="H1855" i="52"/>
  <c r="I1855" i="52" s="1"/>
  <c r="H1854" i="52"/>
  <c r="I1854" i="52" s="1"/>
  <c r="H1853" i="52"/>
  <c r="I1853" i="52" s="1"/>
  <c r="H1852" i="52"/>
  <c r="I1852" i="52" s="1"/>
  <c r="H1847" i="52"/>
  <c r="I1847" i="52" s="1"/>
  <c r="H1846" i="52"/>
  <c r="I1846" i="52" s="1"/>
  <c r="H1845" i="52"/>
  <c r="I1845" i="52" s="1"/>
  <c r="H1844" i="52"/>
  <c r="I1844" i="52" s="1"/>
  <c r="H1843" i="52"/>
  <c r="I1843" i="52" s="1"/>
  <c r="H1842" i="52"/>
  <c r="I1842" i="52" s="1"/>
  <c r="H1837" i="52"/>
  <c r="I1837" i="52" s="1"/>
  <c r="H1836" i="52"/>
  <c r="I1836" i="52" s="1"/>
  <c r="H1835" i="52"/>
  <c r="I1835" i="52" s="1"/>
  <c r="H1834" i="52"/>
  <c r="I1834" i="52" s="1"/>
  <c r="H1833" i="52"/>
  <c r="I1833" i="52" s="1"/>
  <c r="H1832" i="52"/>
  <c r="I1832" i="52" s="1"/>
  <c r="H1827" i="52"/>
  <c r="I1827" i="52" s="1"/>
  <c r="H1826" i="52"/>
  <c r="I1826" i="52" s="1"/>
  <c r="H1825" i="52"/>
  <c r="I1825" i="52" s="1"/>
  <c r="H1824" i="52"/>
  <c r="I1824" i="52" s="1"/>
  <c r="H1823" i="52"/>
  <c r="I1823" i="52" s="1"/>
  <c r="H1818" i="52"/>
  <c r="I1818" i="52" s="1"/>
  <c r="H1817" i="52"/>
  <c r="I1817" i="52" s="1"/>
  <c r="H1816" i="52"/>
  <c r="I1816" i="52" s="1"/>
  <c r="H1815" i="52"/>
  <c r="I1815" i="52" s="1"/>
  <c r="H1814" i="52"/>
  <c r="I1814" i="52" s="1"/>
  <c r="H1813" i="52"/>
  <c r="I1813" i="52" s="1"/>
  <c r="H1808" i="52"/>
  <c r="I1808" i="52" s="1"/>
  <c r="H1807" i="52"/>
  <c r="I1807" i="52" s="1"/>
  <c r="H1806" i="52"/>
  <c r="I1806" i="52" s="1"/>
  <c r="H1805" i="52"/>
  <c r="I1805" i="52" s="1"/>
  <c r="H1804" i="52"/>
  <c r="I1804" i="52" s="1"/>
  <c r="H1799" i="52"/>
  <c r="I1799" i="52" s="1"/>
  <c r="H1798" i="52"/>
  <c r="I1798" i="52" s="1"/>
  <c r="H1797" i="52"/>
  <c r="I1797" i="52" s="1"/>
  <c r="H1796" i="52"/>
  <c r="I1796" i="52" s="1"/>
  <c r="H1795" i="52"/>
  <c r="I1795" i="52" s="1"/>
  <c r="H1794" i="52"/>
  <c r="I1794" i="52" s="1"/>
  <c r="H1789" i="52"/>
  <c r="I1789" i="52" s="1"/>
  <c r="H1788" i="52"/>
  <c r="I1788" i="52" s="1"/>
  <c r="H1787" i="52"/>
  <c r="I1787" i="52" s="1"/>
  <c r="H1786" i="52"/>
  <c r="I1786" i="52" s="1"/>
  <c r="H1785" i="52"/>
  <c r="I1785" i="52" s="1"/>
  <c r="H1784" i="52"/>
  <c r="I1784" i="52" s="1"/>
  <c r="H1779" i="52"/>
  <c r="I1779" i="52" s="1"/>
  <c r="H1778" i="52"/>
  <c r="I1778" i="52" s="1"/>
  <c r="H1777" i="52"/>
  <c r="I1777" i="52" s="1"/>
  <c r="H1776" i="52"/>
  <c r="I1776" i="52" s="1"/>
  <c r="H1775" i="52"/>
  <c r="I1775" i="52" s="1"/>
  <c r="H1774" i="52"/>
  <c r="I1774" i="52" s="1"/>
  <c r="H1769" i="52"/>
  <c r="I1769" i="52" s="1"/>
  <c r="H1768" i="52"/>
  <c r="I1768" i="52" s="1"/>
  <c r="H1767" i="52"/>
  <c r="I1767" i="52" s="1"/>
  <c r="H1766" i="52"/>
  <c r="I1766" i="52" s="1"/>
  <c r="H1761" i="52"/>
  <c r="I1761" i="52" s="1"/>
  <c r="H1760" i="52"/>
  <c r="I1760" i="52" s="1"/>
  <c r="H1759" i="52"/>
  <c r="I1759" i="52" s="1"/>
  <c r="H1758" i="52"/>
  <c r="I1758" i="52" s="1"/>
  <c r="H1753" i="52"/>
  <c r="I1753" i="52" s="1"/>
  <c r="H1752" i="52"/>
  <c r="I1752" i="52" s="1"/>
  <c r="H1751" i="52"/>
  <c r="I1751" i="52" s="1"/>
  <c r="H1750" i="52"/>
  <c r="I1750" i="52" s="1"/>
  <c r="H1745" i="52"/>
  <c r="I1745" i="52" s="1"/>
  <c r="H1744" i="52"/>
  <c r="I1744" i="52" s="1"/>
  <c r="H1743" i="52"/>
  <c r="I1743" i="52" s="1"/>
  <c r="H1742" i="52"/>
  <c r="I1742" i="52" s="1"/>
  <c r="H1737" i="52"/>
  <c r="I1737" i="52" s="1"/>
  <c r="H1736" i="52"/>
  <c r="I1736" i="52" s="1"/>
  <c r="H1735" i="52"/>
  <c r="I1735" i="52" s="1"/>
  <c r="H1734" i="52"/>
  <c r="I1734" i="52" s="1"/>
  <c r="H1729" i="52"/>
  <c r="I1729" i="52" s="1"/>
  <c r="H1728" i="52"/>
  <c r="I1728" i="52" s="1"/>
  <c r="H1727" i="52"/>
  <c r="I1727" i="52" s="1"/>
  <c r="H1726" i="52"/>
  <c r="I1726" i="52" s="1"/>
  <c r="H1721" i="52"/>
  <c r="I1721" i="52" s="1"/>
  <c r="H1720" i="52"/>
  <c r="I1720" i="52" s="1"/>
  <c r="H1719" i="52"/>
  <c r="I1719" i="52" s="1"/>
  <c r="H1718" i="52"/>
  <c r="I1718" i="52" s="1"/>
  <c r="H1713" i="52"/>
  <c r="I1713" i="52" s="1"/>
  <c r="H1712" i="52"/>
  <c r="I1712" i="52" s="1"/>
  <c r="H1711" i="52"/>
  <c r="I1711" i="52" s="1"/>
  <c r="H1710" i="52"/>
  <c r="I1710" i="52" s="1"/>
  <c r="H1709" i="52"/>
  <c r="I1709" i="52" s="1"/>
  <c r="H1708" i="52"/>
  <c r="I1708" i="52" s="1"/>
  <c r="H1703" i="52"/>
  <c r="I1703" i="52" s="1"/>
  <c r="H1702" i="52"/>
  <c r="I1702" i="52" s="1"/>
  <c r="H1701" i="52"/>
  <c r="I1701" i="52" s="1"/>
  <c r="H1700" i="52"/>
  <c r="I1700" i="52" s="1"/>
  <c r="H1699" i="52"/>
  <c r="I1699" i="52" s="1"/>
  <c r="H1698" i="52"/>
  <c r="I1698" i="52" s="1"/>
  <c r="H1693" i="52"/>
  <c r="I1693" i="52" s="1"/>
  <c r="H1692" i="52"/>
  <c r="I1692" i="52" s="1"/>
  <c r="H1691" i="52"/>
  <c r="I1691" i="52" s="1"/>
  <c r="H1690" i="52"/>
  <c r="I1690" i="52" s="1"/>
  <c r="H1689" i="52"/>
  <c r="I1689" i="52" s="1"/>
  <c r="H1684" i="52"/>
  <c r="I1684" i="52" s="1"/>
  <c r="H1683" i="52"/>
  <c r="I1683" i="52" s="1"/>
  <c r="H1682" i="52"/>
  <c r="I1682" i="52" s="1"/>
  <c r="H1681" i="52"/>
  <c r="I1681" i="52" s="1"/>
  <c r="H1680" i="52"/>
  <c r="I1680" i="52" s="1"/>
  <c r="H1679" i="52"/>
  <c r="I1679" i="52" s="1"/>
  <c r="H1674" i="52"/>
  <c r="I1674" i="52" s="1"/>
  <c r="H1673" i="52"/>
  <c r="I1673" i="52" s="1"/>
  <c r="H1672" i="52"/>
  <c r="I1672" i="52" s="1"/>
  <c r="H1671" i="52"/>
  <c r="I1671" i="52" s="1"/>
  <c r="H1670" i="52"/>
  <c r="I1670" i="52" s="1"/>
  <c r="H1669" i="52"/>
  <c r="I1669" i="52" s="1"/>
  <c r="H1664" i="52"/>
  <c r="I1664" i="52" s="1"/>
  <c r="H1663" i="52"/>
  <c r="I1663" i="52" s="1"/>
  <c r="H1662" i="52"/>
  <c r="I1662" i="52" s="1"/>
  <c r="H1661" i="52"/>
  <c r="I1661" i="52" s="1"/>
  <c r="H1660" i="52"/>
  <c r="I1660" i="52" s="1"/>
  <c r="H1659" i="52"/>
  <c r="I1659" i="52" s="1"/>
  <c r="H1654" i="52"/>
  <c r="I1654" i="52" s="1"/>
  <c r="H1653" i="52"/>
  <c r="I1653" i="52" s="1"/>
  <c r="H1652" i="52"/>
  <c r="I1652" i="52" s="1"/>
  <c r="H1651" i="52"/>
  <c r="I1651" i="52" s="1"/>
  <c r="H1650" i="52"/>
  <c r="I1650" i="52" s="1"/>
  <c r="H1649" i="52"/>
  <c r="I1649" i="52" s="1"/>
  <c r="H1644" i="52"/>
  <c r="I1644" i="52" s="1"/>
  <c r="H1643" i="52"/>
  <c r="I1643" i="52" s="1"/>
  <c r="H1642" i="52"/>
  <c r="I1642" i="52" s="1"/>
  <c r="H1637" i="52"/>
  <c r="I1637" i="52" s="1"/>
  <c r="H1636" i="52"/>
  <c r="I1636" i="52" s="1"/>
  <c r="H1635" i="52"/>
  <c r="I1635" i="52" s="1"/>
  <c r="H1634" i="52"/>
  <c r="I1634" i="52" s="1"/>
  <c r="H1629" i="52"/>
  <c r="I1629" i="52" s="1"/>
  <c r="H1628" i="52"/>
  <c r="I1628" i="52" s="1"/>
  <c r="H1627" i="52"/>
  <c r="I1627" i="52" s="1"/>
  <c r="H1626" i="52"/>
  <c r="I1626" i="52" s="1"/>
  <c r="H1621" i="52"/>
  <c r="I1621" i="52" s="1"/>
  <c r="H1620" i="52"/>
  <c r="I1620" i="52" s="1"/>
  <c r="H1619" i="52"/>
  <c r="I1619" i="52" s="1"/>
  <c r="H1618" i="52"/>
  <c r="I1618" i="52" s="1"/>
  <c r="H1613" i="52"/>
  <c r="I1613" i="52" s="1"/>
  <c r="H1612" i="52"/>
  <c r="I1612" i="52" s="1"/>
  <c r="H1611" i="52"/>
  <c r="I1611" i="52" s="1"/>
  <c r="H1606" i="52"/>
  <c r="I1606" i="52" s="1"/>
  <c r="H1605" i="52"/>
  <c r="I1605" i="52" s="1"/>
  <c r="H1604" i="52"/>
  <c r="I1604" i="52" s="1"/>
  <c r="H1603" i="52"/>
  <c r="I1603" i="52" s="1"/>
  <c r="H1598" i="52"/>
  <c r="I1598" i="52" s="1"/>
  <c r="H1597" i="52"/>
  <c r="I1597" i="52" s="1"/>
  <c r="H1596" i="52"/>
  <c r="I1596" i="52" s="1"/>
  <c r="H1591" i="52"/>
  <c r="I1591" i="52" s="1"/>
  <c r="H1590" i="52"/>
  <c r="I1590" i="52" s="1"/>
  <c r="H1589" i="52"/>
  <c r="I1589" i="52" s="1"/>
  <c r="H1584" i="52"/>
  <c r="I1584" i="52" s="1"/>
  <c r="H1583" i="52"/>
  <c r="I1583" i="52" s="1"/>
  <c r="H1578" i="52"/>
  <c r="I1578" i="52" s="1"/>
  <c r="H1577" i="52"/>
  <c r="I1577" i="52" s="1"/>
  <c r="H1576" i="52"/>
  <c r="I1576" i="52" s="1"/>
  <c r="H1575" i="52"/>
  <c r="I1575" i="52" s="1"/>
  <c r="H1570" i="52"/>
  <c r="I1570" i="52" s="1"/>
  <c r="H1569" i="52"/>
  <c r="I1569" i="52" s="1"/>
  <c r="H1568" i="52"/>
  <c r="I1568" i="52" s="1"/>
  <c r="H1567" i="52"/>
  <c r="I1567" i="52" s="1"/>
  <c r="H1562" i="52"/>
  <c r="I1562" i="52" s="1"/>
  <c r="H1561" i="52"/>
  <c r="I1561" i="52" s="1"/>
  <c r="H1560" i="52"/>
  <c r="I1560" i="52" s="1"/>
  <c r="H1555" i="52"/>
  <c r="I1555" i="52" s="1"/>
  <c r="H1554" i="52"/>
  <c r="I1554" i="52" s="1"/>
  <c r="H1553" i="52"/>
  <c r="I1553" i="52" s="1"/>
  <c r="H1548" i="52"/>
  <c r="I1548" i="52" s="1"/>
  <c r="H1547" i="52"/>
  <c r="I1547" i="52" s="1"/>
  <c r="H1546" i="52"/>
  <c r="I1546" i="52" s="1"/>
  <c r="H1545" i="52"/>
  <c r="I1545" i="52" s="1"/>
  <c r="H1540" i="52"/>
  <c r="I1540" i="52" s="1"/>
  <c r="H1539" i="52"/>
  <c r="I1539" i="52" s="1"/>
  <c r="H1538" i="52"/>
  <c r="I1538" i="52" s="1"/>
  <c r="H1533" i="52"/>
  <c r="I1533" i="52" s="1"/>
  <c r="H1532" i="52"/>
  <c r="I1532" i="52" s="1"/>
  <c r="H1531" i="52"/>
  <c r="I1531" i="52" s="1"/>
  <c r="H1530" i="52"/>
  <c r="I1530" i="52" s="1"/>
  <c r="H1525" i="52"/>
  <c r="I1525" i="52" s="1"/>
  <c r="H1524" i="52"/>
  <c r="I1524" i="52" s="1"/>
  <c r="H1523" i="52"/>
  <c r="I1523" i="52" s="1"/>
  <c r="H1518" i="52"/>
  <c r="I1518" i="52" s="1"/>
  <c r="H1517" i="52"/>
  <c r="I1517" i="52" s="1"/>
  <c r="H1516" i="52"/>
  <c r="I1516" i="52" s="1"/>
  <c r="H1511" i="52"/>
  <c r="I1511" i="52" s="1"/>
  <c r="H1510" i="52"/>
  <c r="I1510" i="52" s="1"/>
  <c r="H1509" i="52"/>
  <c r="I1509" i="52" s="1"/>
  <c r="H1504" i="52"/>
  <c r="I1504" i="52" s="1"/>
  <c r="H1503" i="52"/>
  <c r="I1503" i="52" s="1"/>
  <c r="H1502" i="52"/>
  <c r="I1502" i="52" s="1"/>
  <c r="H1497" i="52"/>
  <c r="I1497" i="52" s="1"/>
  <c r="H1496" i="52"/>
  <c r="I1496" i="52" s="1"/>
  <c r="H1495" i="52"/>
  <c r="I1495" i="52" s="1"/>
  <c r="H1490" i="52"/>
  <c r="I1490" i="52" s="1"/>
  <c r="H1489" i="52"/>
  <c r="I1489" i="52" s="1"/>
  <c r="H1488" i="52"/>
  <c r="I1488" i="52" s="1"/>
  <c r="H1487" i="52"/>
  <c r="I1487" i="52" s="1"/>
  <c r="H1486" i="52"/>
  <c r="I1486" i="52" s="1"/>
  <c r="H1481" i="52"/>
  <c r="I1481" i="52" s="1"/>
  <c r="H1480" i="52"/>
  <c r="I1480" i="52" s="1"/>
  <c r="H1475" i="52"/>
  <c r="I1475" i="52" s="1"/>
  <c r="H1474" i="52"/>
  <c r="I1474" i="52" s="1"/>
  <c r="H1473" i="52"/>
  <c r="I1473" i="52" s="1"/>
  <c r="H1472" i="52"/>
  <c r="I1472" i="52" s="1"/>
  <c r="H1471" i="52"/>
  <c r="I1471" i="52" s="1"/>
  <c r="H1470" i="52"/>
  <c r="I1470" i="52" s="1"/>
  <c r="H1465" i="52"/>
  <c r="I1465" i="52" s="1"/>
  <c r="H1464" i="52"/>
  <c r="I1464" i="52" s="1"/>
  <c r="H1463" i="52"/>
  <c r="I1463" i="52" s="1"/>
  <c r="H1458" i="52"/>
  <c r="I1458" i="52" s="1"/>
  <c r="H1457" i="52"/>
  <c r="I1457" i="52" s="1"/>
  <c r="H1456" i="52"/>
  <c r="I1456" i="52" s="1"/>
  <c r="H1451" i="52"/>
  <c r="I1451" i="52" s="1"/>
  <c r="H1450" i="52"/>
  <c r="I1450" i="52" s="1"/>
  <c r="H1445" i="52"/>
  <c r="I1445" i="52" s="1"/>
  <c r="H1444" i="52"/>
  <c r="I1444" i="52" s="1"/>
  <c r="H1439" i="52"/>
  <c r="I1439" i="52" s="1"/>
  <c r="H1438" i="52"/>
  <c r="I1438" i="52" s="1"/>
  <c r="H1437" i="52"/>
  <c r="I1437" i="52" s="1"/>
  <c r="H1432" i="52"/>
  <c r="I1432" i="52" s="1"/>
  <c r="H1431" i="52"/>
  <c r="I1431" i="52" s="1"/>
  <c r="H1430" i="52"/>
  <c r="I1430" i="52" s="1"/>
  <c r="H1425" i="52"/>
  <c r="I1425" i="52" s="1"/>
  <c r="H1424" i="52"/>
  <c r="I1424" i="52" s="1"/>
  <c r="H1419" i="52"/>
  <c r="I1419" i="52" s="1"/>
  <c r="H1418" i="52"/>
  <c r="I1418" i="52" s="1"/>
  <c r="H1417" i="52"/>
  <c r="I1417" i="52" s="1"/>
  <c r="H1412" i="52"/>
  <c r="I1412" i="52" s="1"/>
  <c r="H1411" i="52"/>
  <c r="I1411" i="52" s="1"/>
  <c r="H1410" i="52"/>
  <c r="I1410" i="52" s="1"/>
  <c r="H1409" i="52"/>
  <c r="I1409" i="52" s="1"/>
  <c r="H1408" i="52"/>
  <c r="I1408" i="52" s="1"/>
  <c r="H1403" i="52"/>
  <c r="I1403" i="52" s="1"/>
  <c r="H1402" i="52"/>
  <c r="I1402" i="52" s="1"/>
  <c r="H1401" i="52"/>
  <c r="I1401" i="52" s="1"/>
  <c r="H1400" i="52"/>
  <c r="I1400" i="52" s="1"/>
  <c r="H1395" i="52"/>
  <c r="I1395" i="52" s="1"/>
  <c r="H1394" i="52"/>
  <c r="I1394" i="52" s="1"/>
  <c r="H1393" i="52"/>
  <c r="I1393" i="52" s="1"/>
  <c r="H1392" i="52"/>
  <c r="I1392" i="52" s="1"/>
  <c r="H1387" i="52"/>
  <c r="I1387" i="52" s="1"/>
  <c r="H1386" i="52"/>
  <c r="I1386" i="52" s="1"/>
  <c r="H1385" i="52"/>
  <c r="I1385" i="52" s="1"/>
  <c r="H1384" i="52"/>
  <c r="I1384" i="52" s="1"/>
  <c r="H1383" i="52"/>
  <c r="I1383" i="52" s="1"/>
  <c r="H1378" i="52"/>
  <c r="I1378" i="52" s="1"/>
  <c r="H1377" i="52"/>
  <c r="I1377" i="52" s="1"/>
  <c r="H1376" i="52"/>
  <c r="I1376" i="52" s="1"/>
  <c r="H1371" i="52"/>
  <c r="I1371" i="52" s="1"/>
  <c r="H1370" i="52"/>
  <c r="I1370" i="52" s="1"/>
  <c r="H1369" i="52"/>
  <c r="I1369" i="52" s="1"/>
  <c r="H1364" i="52"/>
  <c r="I1364" i="52" s="1"/>
  <c r="H1363" i="52"/>
  <c r="I1363" i="52" s="1"/>
  <c r="H1362" i="52"/>
  <c r="I1362" i="52" s="1"/>
  <c r="H1361" i="52"/>
  <c r="I1361" i="52" s="1"/>
  <c r="H1356" i="52"/>
  <c r="I1356" i="52" s="1"/>
  <c r="H1355" i="52"/>
  <c r="I1355" i="52" s="1"/>
  <c r="H1354" i="52"/>
  <c r="I1354" i="52" s="1"/>
  <c r="H1353" i="52"/>
  <c r="I1353" i="52" s="1"/>
  <c r="H1348" i="52"/>
  <c r="I1348" i="52" s="1"/>
  <c r="H1347" i="52"/>
  <c r="I1347" i="52" s="1"/>
  <c r="H1346" i="52"/>
  <c r="I1346" i="52" s="1"/>
  <c r="H1345" i="52"/>
  <c r="I1345" i="52" s="1"/>
  <c r="H1340" i="52"/>
  <c r="I1340" i="52" s="1"/>
  <c r="H1339" i="52"/>
  <c r="I1339" i="52" s="1"/>
  <c r="H1338" i="52"/>
  <c r="I1338" i="52" s="1"/>
  <c r="H1333" i="52"/>
  <c r="I1333" i="52" s="1"/>
  <c r="H1332" i="52"/>
  <c r="I1332" i="52" s="1"/>
  <c r="H1331" i="52"/>
  <c r="I1331" i="52" s="1"/>
  <c r="H1326" i="52"/>
  <c r="I1326" i="52" s="1"/>
  <c r="H1325" i="52"/>
  <c r="I1325" i="52" s="1"/>
  <c r="H1324" i="52"/>
  <c r="I1324" i="52" s="1"/>
  <c r="H1319" i="52"/>
  <c r="I1319" i="52" s="1"/>
  <c r="H1318" i="52"/>
  <c r="I1318" i="52" s="1"/>
  <c r="H1317" i="52"/>
  <c r="I1317" i="52" s="1"/>
  <c r="H1312" i="52"/>
  <c r="I1312" i="52" s="1"/>
  <c r="H1311" i="52"/>
  <c r="I1311" i="52" s="1"/>
  <c r="H1310" i="52"/>
  <c r="I1310" i="52" s="1"/>
  <c r="H1305" i="52"/>
  <c r="I1305" i="52" s="1"/>
  <c r="H1304" i="52"/>
  <c r="I1304" i="52" s="1"/>
  <c r="H1303" i="52"/>
  <c r="I1303" i="52" s="1"/>
  <c r="H1302" i="52"/>
  <c r="I1302" i="52" s="1"/>
  <c r="H1297" i="52"/>
  <c r="I1297" i="52" s="1"/>
  <c r="H1296" i="52"/>
  <c r="I1296" i="52" s="1"/>
  <c r="H1295" i="52"/>
  <c r="I1295" i="52" s="1"/>
  <c r="H1294" i="52"/>
  <c r="I1294" i="52" s="1"/>
  <c r="H1289" i="52"/>
  <c r="I1289" i="52" s="1"/>
  <c r="H1288" i="52"/>
  <c r="I1288" i="52" s="1"/>
  <c r="H1287" i="52"/>
  <c r="I1287" i="52" s="1"/>
  <c r="H1286" i="52"/>
  <c r="I1286" i="52" s="1"/>
  <c r="H1281" i="52"/>
  <c r="I1281" i="52" s="1"/>
  <c r="H1280" i="52"/>
  <c r="I1280" i="52" s="1"/>
  <c r="H1279" i="52"/>
  <c r="I1279" i="52" s="1"/>
  <c r="H1274" i="52"/>
  <c r="I1274" i="52" s="1"/>
  <c r="H1273" i="52"/>
  <c r="I1273" i="52" s="1"/>
  <c r="H1272" i="52"/>
  <c r="I1272" i="52" s="1"/>
  <c r="H1267" i="52"/>
  <c r="I1267" i="52" s="1"/>
  <c r="H1266" i="52"/>
  <c r="I1266" i="52" s="1"/>
  <c r="H1265" i="52"/>
  <c r="I1265" i="52" s="1"/>
  <c r="H1264" i="52"/>
  <c r="I1264" i="52" s="1"/>
  <c r="H1259" i="52"/>
  <c r="I1259" i="52" s="1"/>
  <c r="H1258" i="52"/>
  <c r="I1258" i="52" s="1"/>
  <c r="H1257" i="52"/>
  <c r="I1257" i="52" s="1"/>
  <c r="H1256" i="52"/>
  <c r="I1256" i="52" s="1"/>
  <c r="H1251" i="52"/>
  <c r="I1251" i="52" s="1"/>
  <c r="H1250" i="52"/>
  <c r="I1250" i="52" s="1"/>
  <c r="H1249" i="52"/>
  <c r="I1249" i="52" s="1"/>
  <c r="H1248" i="52"/>
  <c r="I1248" i="52" s="1"/>
  <c r="H1243" i="52"/>
  <c r="I1243" i="52" s="1"/>
  <c r="H1242" i="52"/>
  <c r="I1242" i="52" s="1"/>
  <c r="H1241" i="52"/>
  <c r="I1241" i="52" s="1"/>
  <c r="H1240" i="52"/>
  <c r="I1240" i="52" s="1"/>
  <c r="H1235" i="52"/>
  <c r="I1235" i="52" s="1"/>
  <c r="H1234" i="52"/>
  <c r="I1234" i="52" s="1"/>
  <c r="H1229" i="52"/>
  <c r="I1229" i="52" s="1"/>
  <c r="H1228" i="52"/>
  <c r="I1228" i="52" s="1"/>
  <c r="H1223" i="52"/>
  <c r="I1223" i="52" s="1"/>
  <c r="H1222" i="52"/>
  <c r="I1222" i="52" s="1"/>
  <c r="H1217" i="52"/>
  <c r="I1217" i="52" s="1"/>
  <c r="H1216" i="52"/>
  <c r="I1216" i="52" s="1"/>
  <c r="H1211" i="52"/>
  <c r="I1211" i="52" s="1"/>
  <c r="H1210" i="52"/>
  <c r="I1210" i="52" s="1"/>
  <c r="H1209" i="52"/>
  <c r="I1209" i="52" s="1"/>
  <c r="H1204" i="52"/>
  <c r="I1204" i="52" s="1"/>
  <c r="H1203" i="52"/>
  <c r="I1203" i="52" s="1"/>
  <c r="H1202" i="52"/>
  <c r="I1202" i="52" s="1"/>
  <c r="H1201" i="52"/>
  <c r="I1201" i="52" s="1"/>
  <c r="H1196" i="52"/>
  <c r="I1196" i="52" s="1"/>
  <c r="H1195" i="52"/>
  <c r="I1195" i="52" s="1"/>
  <c r="H1194" i="52"/>
  <c r="I1194" i="52" s="1"/>
  <c r="H1193" i="52"/>
  <c r="I1193" i="52" s="1"/>
  <c r="H1188" i="52"/>
  <c r="I1188" i="52" s="1"/>
  <c r="H1187" i="52"/>
  <c r="I1187" i="52" s="1"/>
  <c r="H1182" i="52"/>
  <c r="I1182" i="52" s="1"/>
  <c r="H1181" i="52"/>
  <c r="I1181" i="52" s="1"/>
  <c r="H1180" i="52"/>
  <c r="I1180" i="52" s="1"/>
  <c r="H1175" i="52"/>
  <c r="I1175" i="52" s="1"/>
  <c r="H1174" i="52"/>
  <c r="I1174" i="52" s="1"/>
  <c r="H1169" i="52"/>
  <c r="I1169" i="52" s="1"/>
  <c r="H1168" i="52"/>
  <c r="I1168" i="52" s="1"/>
  <c r="H1163" i="52"/>
  <c r="I1163" i="52" s="1"/>
  <c r="H1162" i="52"/>
  <c r="I1162" i="52" s="1"/>
  <c r="H1161" i="52"/>
  <c r="I1161" i="52" s="1"/>
  <c r="H1156" i="52"/>
  <c r="I1156" i="52" s="1"/>
  <c r="H1155" i="52"/>
  <c r="I1155" i="52" s="1"/>
  <c r="H1154" i="52"/>
  <c r="I1154" i="52" s="1"/>
  <c r="H1149" i="52"/>
  <c r="I1149" i="52" s="1"/>
  <c r="H1148" i="52"/>
  <c r="I1148" i="52" s="1"/>
  <c r="H1147" i="52"/>
  <c r="I1147" i="52" s="1"/>
  <c r="H1146" i="52"/>
  <c r="I1146" i="52" s="1"/>
  <c r="H1141" i="52"/>
  <c r="I1141" i="52" s="1"/>
  <c r="H1140" i="52"/>
  <c r="I1140" i="52" s="1"/>
  <c r="H1139" i="52"/>
  <c r="I1139" i="52" s="1"/>
  <c r="H1138" i="52"/>
  <c r="I1138" i="52" s="1"/>
  <c r="H1133" i="52"/>
  <c r="I1133" i="52" s="1"/>
  <c r="H1132" i="52"/>
  <c r="I1132" i="52" s="1"/>
  <c r="H1131" i="52"/>
  <c r="I1131" i="52" s="1"/>
  <c r="H1130" i="52"/>
  <c r="I1130" i="52" s="1"/>
  <c r="H1125" i="52"/>
  <c r="I1125" i="52" s="1"/>
  <c r="H1124" i="52"/>
  <c r="I1124" i="52" s="1"/>
  <c r="H1123" i="52"/>
  <c r="I1123" i="52" s="1"/>
  <c r="H1122" i="52"/>
  <c r="I1122" i="52" s="1"/>
  <c r="H1117" i="52"/>
  <c r="I1117" i="52" s="1"/>
  <c r="H1116" i="52"/>
  <c r="I1116" i="52" s="1"/>
  <c r="H1115" i="52"/>
  <c r="I1115" i="52" s="1"/>
  <c r="H1114" i="52"/>
  <c r="I1114" i="52" s="1"/>
  <c r="H1109" i="52"/>
  <c r="I1109" i="52" s="1"/>
  <c r="H1108" i="52"/>
  <c r="I1108" i="52" s="1"/>
  <c r="H1107" i="52"/>
  <c r="I1107" i="52" s="1"/>
  <c r="H1106" i="52"/>
  <c r="I1106" i="52" s="1"/>
  <c r="H1101" i="52"/>
  <c r="I1101" i="52" s="1"/>
  <c r="H1100" i="52"/>
  <c r="I1100" i="52" s="1"/>
  <c r="H1099" i="52"/>
  <c r="I1099" i="52" s="1"/>
  <c r="H1098" i="52"/>
  <c r="I1098" i="52" s="1"/>
  <c r="H1093" i="52"/>
  <c r="I1093" i="52" s="1"/>
  <c r="H1092" i="52"/>
  <c r="I1092" i="52" s="1"/>
  <c r="H1091" i="52"/>
  <c r="I1091" i="52" s="1"/>
  <c r="H1090" i="52"/>
  <c r="I1090" i="52" s="1"/>
  <c r="H1085" i="52"/>
  <c r="I1085" i="52" s="1"/>
  <c r="H1084" i="52"/>
  <c r="I1084" i="52" s="1"/>
  <c r="H1083" i="52"/>
  <c r="I1083" i="52" s="1"/>
  <c r="H1082" i="52"/>
  <c r="I1082" i="52" s="1"/>
  <c r="H1077" i="52"/>
  <c r="I1077" i="52" s="1"/>
  <c r="H1076" i="52"/>
  <c r="I1076" i="52" s="1"/>
  <c r="H1075" i="52"/>
  <c r="I1075" i="52" s="1"/>
  <c r="H1074" i="52"/>
  <c r="I1074" i="52" s="1"/>
  <c r="H1069" i="52"/>
  <c r="I1069" i="52" s="1"/>
  <c r="H1068" i="52"/>
  <c r="I1068" i="52" s="1"/>
  <c r="H1067" i="52"/>
  <c r="I1067" i="52" s="1"/>
  <c r="H1066" i="52"/>
  <c r="I1066" i="52" s="1"/>
  <c r="H1061" i="52"/>
  <c r="I1061" i="52" s="1"/>
  <c r="H1060" i="52"/>
  <c r="I1060" i="52" s="1"/>
  <c r="H1059" i="52"/>
  <c r="I1059" i="52" s="1"/>
  <c r="H1058" i="52"/>
  <c r="I1058" i="52" s="1"/>
  <c r="H1053" i="52"/>
  <c r="I1053" i="52" s="1"/>
  <c r="H1052" i="52"/>
  <c r="I1052" i="52" s="1"/>
  <c r="H1051" i="52"/>
  <c r="I1051" i="52" s="1"/>
  <c r="H1050" i="52"/>
  <c r="I1050" i="52" s="1"/>
  <c r="H1049" i="52"/>
  <c r="I1049" i="52" s="1"/>
  <c r="H1048" i="52"/>
  <c r="I1048" i="52" s="1"/>
  <c r="H1043" i="52"/>
  <c r="I1043" i="52" s="1"/>
  <c r="H1042" i="52"/>
  <c r="I1042" i="52" s="1"/>
  <c r="H1041" i="52"/>
  <c r="I1041" i="52" s="1"/>
  <c r="H1036" i="52"/>
  <c r="I1036" i="52" s="1"/>
  <c r="H1035" i="52"/>
  <c r="I1035" i="52" s="1"/>
  <c r="H1034" i="52"/>
  <c r="I1034" i="52" s="1"/>
  <c r="H1029" i="52"/>
  <c r="I1029" i="52" s="1"/>
  <c r="H1028" i="52"/>
  <c r="I1028" i="52" s="1"/>
  <c r="H1027" i="52"/>
  <c r="I1027" i="52" s="1"/>
  <c r="H1022" i="52"/>
  <c r="I1022" i="52" s="1"/>
  <c r="H1021" i="52"/>
  <c r="I1021" i="52" s="1"/>
  <c r="H1020" i="52"/>
  <c r="I1020" i="52" s="1"/>
  <c r="H1019" i="52"/>
  <c r="I1019" i="52" s="1"/>
  <c r="H1018" i="52"/>
  <c r="I1018" i="52" s="1"/>
  <c r="H1017" i="52"/>
  <c r="I1017" i="52" s="1"/>
  <c r="H1010" i="52"/>
  <c r="I1010" i="52" s="1"/>
  <c r="H1005" i="52"/>
  <c r="I1005" i="52" s="1"/>
  <c r="H1004" i="52"/>
  <c r="I1004" i="52" s="1"/>
  <c r="H1003" i="52"/>
  <c r="I1003" i="52" s="1"/>
  <c r="H998" i="52"/>
  <c r="I998" i="52" s="1"/>
  <c r="H997" i="52"/>
  <c r="I997" i="52" s="1"/>
  <c r="H996" i="52"/>
  <c r="I996" i="52" s="1"/>
  <c r="H995" i="52"/>
  <c r="I995" i="52" s="1"/>
  <c r="H990" i="52"/>
  <c r="I990" i="52" s="1"/>
  <c r="H989" i="52"/>
  <c r="I989" i="52" s="1"/>
  <c r="H988" i="52"/>
  <c r="I988" i="52" s="1"/>
  <c r="H983" i="52"/>
  <c r="I983" i="52" s="1"/>
  <c r="H982" i="52"/>
  <c r="I982" i="52" s="1"/>
  <c r="H981" i="52"/>
  <c r="I981" i="52" s="1"/>
  <c r="H976" i="52"/>
  <c r="I976" i="52" s="1"/>
  <c r="H975" i="52"/>
  <c r="I975" i="52" s="1"/>
  <c r="H974" i="52"/>
  <c r="I974" i="52" s="1"/>
  <c r="H969" i="52"/>
  <c r="I969" i="52" s="1"/>
  <c r="H968" i="52"/>
  <c r="I968" i="52" s="1"/>
  <c r="H967" i="52"/>
  <c r="I967" i="52" s="1"/>
  <c r="H962" i="52"/>
  <c r="I962" i="52" s="1"/>
  <c r="H961" i="52"/>
  <c r="I961" i="52" s="1"/>
  <c r="H960" i="52"/>
  <c r="I960" i="52" s="1"/>
  <c r="H955" i="52"/>
  <c r="I955" i="52" s="1"/>
  <c r="H954" i="52"/>
  <c r="I954" i="52" s="1"/>
  <c r="H953" i="52"/>
  <c r="I953" i="52" s="1"/>
  <c r="H948" i="52"/>
  <c r="I948" i="52" s="1"/>
  <c r="H947" i="52"/>
  <c r="I947" i="52" s="1"/>
  <c r="H946" i="52"/>
  <c r="I946" i="52" s="1"/>
  <c r="H941" i="52"/>
  <c r="I941" i="52" s="1"/>
  <c r="H940" i="52"/>
  <c r="I940" i="52" s="1"/>
  <c r="H939" i="52"/>
  <c r="I939" i="52" s="1"/>
  <c r="H938" i="52"/>
  <c r="I938" i="52" s="1"/>
  <c r="H933" i="52"/>
  <c r="I933" i="52" s="1"/>
  <c r="H928" i="52"/>
  <c r="I928" i="52" s="1"/>
  <c r="H927" i="52"/>
  <c r="I927" i="52" s="1"/>
  <c r="H922" i="52"/>
  <c r="I922" i="52" s="1"/>
  <c r="H917" i="52"/>
  <c r="I917" i="52" s="1"/>
  <c r="H916" i="52"/>
  <c r="I916" i="52" s="1"/>
  <c r="H915" i="52"/>
  <c r="I915" i="52" s="1"/>
  <c r="H914" i="52"/>
  <c r="I914" i="52" s="1"/>
  <c r="H913" i="52"/>
  <c r="I913" i="52" s="1"/>
  <c r="H908" i="52"/>
  <c r="I908" i="52" s="1"/>
  <c r="H907" i="52"/>
  <c r="I907" i="52" s="1"/>
  <c r="H906" i="52"/>
  <c r="I906" i="52" s="1"/>
  <c r="H905" i="52"/>
  <c r="I905" i="52" s="1"/>
  <c r="H904" i="52"/>
  <c r="I904" i="52" s="1"/>
  <c r="H899" i="52"/>
  <c r="I899" i="52" s="1"/>
  <c r="H898" i="52"/>
  <c r="I898" i="52" s="1"/>
  <c r="H897" i="52"/>
  <c r="I897" i="52" s="1"/>
  <c r="H896" i="52"/>
  <c r="I896" i="52" s="1"/>
  <c r="H895" i="52"/>
  <c r="I895" i="52" s="1"/>
  <c r="H894" i="52"/>
  <c r="I894" i="52" s="1"/>
  <c r="H889" i="52"/>
  <c r="I889" i="52" s="1"/>
  <c r="H888" i="52"/>
  <c r="I888" i="52" s="1"/>
  <c r="H887" i="52"/>
  <c r="I887" i="52" s="1"/>
  <c r="H886" i="52"/>
  <c r="I886" i="52" s="1"/>
  <c r="H881" i="52"/>
  <c r="I881" i="52" s="1"/>
  <c r="H880" i="52"/>
  <c r="I880" i="52" s="1"/>
  <c r="H879" i="52"/>
  <c r="I879" i="52" s="1"/>
  <c r="H878" i="52"/>
  <c r="I878" i="52" s="1"/>
  <c r="H873" i="52"/>
  <c r="I873" i="52" s="1"/>
  <c r="H872" i="52"/>
  <c r="I872" i="52" s="1"/>
  <c r="H871" i="52"/>
  <c r="I871" i="52" s="1"/>
  <c r="H870" i="52"/>
  <c r="I870" i="52" s="1"/>
  <c r="H869" i="52"/>
  <c r="I869" i="52" s="1"/>
  <c r="H868" i="52"/>
  <c r="I868" i="52" s="1"/>
  <c r="H863" i="52"/>
  <c r="I863" i="52" s="1"/>
  <c r="H858" i="52"/>
  <c r="I858" i="52" s="1"/>
  <c r="H857" i="52"/>
  <c r="I857" i="52" s="1"/>
  <c r="H856" i="52"/>
  <c r="I856" i="52" s="1"/>
  <c r="H855" i="52"/>
  <c r="I855" i="52" s="1"/>
  <c r="H850" i="52"/>
  <c r="I850" i="52" s="1"/>
  <c r="H849" i="52"/>
  <c r="I849" i="52" s="1"/>
  <c r="H844" i="52"/>
  <c r="I844" i="52" s="1"/>
  <c r="H843" i="52"/>
  <c r="I843" i="52" s="1"/>
  <c r="H842" i="52"/>
  <c r="I842" i="52" s="1"/>
  <c r="H841" i="52"/>
  <c r="I841" i="52" s="1"/>
  <c r="H840" i="52"/>
  <c r="I840" i="52" s="1"/>
  <c r="H835" i="52"/>
  <c r="I835" i="52" s="1"/>
  <c r="H834" i="52"/>
  <c r="I834" i="52" s="1"/>
  <c r="H833" i="52"/>
  <c r="I833" i="52" s="1"/>
  <c r="H832" i="52"/>
  <c r="I832" i="52" s="1"/>
  <c r="H831" i="52"/>
  <c r="I831" i="52" s="1"/>
  <c r="H826" i="52"/>
  <c r="I826" i="52" s="1"/>
  <c r="H825" i="52"/>
  <c r="I825" i="52" s="1"/>
  <c r="H824" i="52"/>
  <c r="I824" i="52" s="1"/>
  <c r="H819" i="52"/>
  <c r="I819" i="52" s="1"/>
  <c r="H818" i="52"/>
  <c r="I818" i="52" s="1"/>
  <c r="H817" i="52"/>
  <c r="I817" i="52" s="1"/>
  <c r="H812" i="52"/>
  <c r="I812" i="52" s="1"/>
  <c r="H811" i="52"/>
  <c r="I811" i="52" s="1"/>
  <c r="H810" i="52"/>
  <c r="I810" i="52" s="1"/>
  <c r="H809" i="52"/>
  <c r="I809" i="52" s="1"/>
  <c r="H808" i="52"/>
  <c r="I808" i="52" s="1"/>
  <c r="H803" i="52"/>
  <c r="I803" i="52" s="1"/>
  <c r="H802" i="52"/>
  <c r="I802" i="52" s="1"/>
  <c r="H801" i="52"/>
  <c r="I801" i="52" s="1"/>
  <c r="H796" i="52"/>
  <c r="I796" i="52" s="1"/>
  <c r="H795" i="52"/>
  <c r="I795" i="52" s="1"/>
  <c r="H794" i="52"/>
  <c r="I794" i="52" s="1"/>
  <c r="H789" i="52"/>
  <c r="I789" i="52" s="1"/>
  <c r="H788" i="52"/>
  <c r="I788" i="52" s="1"/>
  <c r="H787" i="52"/>
  <c r="I787" i="52" s="1"/>
  <c r="H782" i="52"/>
  <c r="I782" i="52" s="1"/>
  <c r="H781" i="52"/>
  <c r="I781" i="52" s="1"/>
  <c r="H780" i="52"/>
  <c r="I780" i="52" s="1"/>
  <c r="H775" i="52"/>
  <c r="I775" i="52" s="1"/>
  <c r="H774" i="52"/>
  <c r="I774" i="52" s="1"/>
  <c r="H773" i="52"/>
  <c r="I773" i="52" s="1"/>
  <c r="H768" i="52"/>
  <c r="I768" i="52" s="1"/>
  <c r="H767" i="52"/>
  <c r="I767" i="52" s="1"/>
  <c r="H766" i="52"/>
  <c r="I766" i="52" s="1"/>
  <c r="H765" i="52"/>
  <c r="I765" i="52" s="1"/>
  <c r="H764" i="52"/>
  <c r="I764" i="52" s="1"/>
  <c r="H759" i="52"/>
  <c r="I759" i="52" s="1"/>
  <c r="H758" i="52"/>
  <c r="I758" i="52" s="1"/>
  <c r="H757" i="52"/>
  <c r="I757" i="52" s="1"/>
  <c r="H756" i="52"/>
  <c r="I756" i="52" s="1"/>
  <c r="H755" i="52"/>
  <c r="I755" i="52" s="1"/>
  <c r="H750" i="52"/>
  <c r="I750" i="52" s="1"/>
  <c r="H749" i="52"/>
  <c r="I749" i="52" s="1"/>
  <c r="H748" i="52"/>
  <c r="I748" i="52" s="1"/>
  <c r="H747" i="52"/>
  <c r="I747" i="52" s="1"/>
  <c r="H746" i="52"/>
  <c r="I746" i="52" s="1"/>
  <c r="H741" i="52"/>
  <c r="I741" i="52" s="1"/>
  <c r="H740" i="52"/>
  <c r="I740" i="52" s="1"/>
  <c r="H739" i="52"/>
  <c r="I739" i="52" s="1"/>
  <c r="H738" i="52"/>
  <c r="I738" i="52" s="1"/>
  <c r="H737" i="52"/>
  <c r="I737" i="52" s="1"/>
  <c r="H732" i="52"/>
  <c r="I732" i="52" s="1"/>
  <c r="H731" i="52"/>
  <c r="I731" i="52" s="1"/>
  <c r="H730" i="52"/>
  <c r="I730" i="52" s="1"/>
  <c r="H725" i="52"/>
  <c r="I725" i="52" s="1"/>
  <c r="H724" i="52"/>
  <c r="I724" i="52" s="1"/>
  <c r="H723" i="52"/>
  <c r="I723" i="52" s="1"/>
  <c r="H718" i="52"/>
  <c r="I718" i="52" s="1"/>
  <c r="H713" i="52"/>
  <c r="I713" i="52" s="1"/>
  <c r="H712" i="52"/>
  <c r="I712" i="52" s="1"/>
  <c r="H711" i="52"/>
  <c r="I711" i="52" s="1"/>
  <c r="H710" i="52"/>
  <c r="I710" i="52" s="1"/>
  <c r="H709" i="52"/>
  <c r="I709" i="52" s="1"/>
  <c r="H708" i="52"/>
  <c r="I708" i="52" s="1"/>
  <c r="H703" i="52"/>
  <c r="I703" i="52" s="1"/>
  <c r="H702" i="52"/>
  <c r="I702" i="52" s="1"/>
  <c r="H701" i="52"/>
  <c r="I701" i="52" s="1"/>
  <c r="H700" i="52"/>
  <c r="I700" i="52" s="1"/>
  <c r="H699" i="52"/>
  <c r="I699" i="52" s="1"/>
  <c r="H698" i="52"/>
  <c r="I698" i="52" s="1"/>
  <c r="H693" i="52"/>
  <c r="I693" i="52" s="1"/>
  <c r="H692" i="52"/>
  <c r="I692" i="52" s="1"/>
  <c r="H691" i="52"/>
  <c r="I691" i="52" s="1"/>
  <c r="H690" i="52"/>
  <c r="I690" i="52" s="1"/>
  <c r="H689" i="52"/>
  <c r="I689" i="52" s="1"/>
  <c r="H687" i="52"/>
  <c r="I687" i="52" s="1"/>
  <c r="H686" i="52"/>
  <c r="I686" i="52" s="1"/>
  <c r="H681" i="52"/>
  <c r="I681" i="52" s="1"/>
  <c r="H680" i="52"/>
  <c r="I680" i="52" s="1"/>
  <c r="H679" i="52"/>
  <c r="I679" i="52" s="1"/>
  <c r="H678" i="52"/>
  <c r="I678" i="52" s="1"/>
  <c r="H677" i="52"/>
  <c r="I677" i="52" s="1"/>
  <c r="H675" i="52"/>
  <c r="I675" i="52" s="1"/>
  <c r="H674" i="52"/>
  <c r="I674" i="52" s="1"/>
  <c r="H669" i="52"/>
  <c r="I669" i="52" s="1"/>
  <c r="H668" i="52"/>
  <c r="I668" i="52" s="1"/>
  <c r="H667" i="52"/>
  <c r="I667" i="52" s="1"/>
  <c r="H666" i="52"/>
  <c r="I666" i="52" s="1"/>
  <c r="H665" i="52"/>
  <c r="I665" i="52" s="1"/>
  <c r="H663" i="52"/>
  <c r="I663" i="52" s="1"/>
  <c r="H662" i="52"/>
  <c r="I662" i="52" s="1"/>
  <c r="H657" i="52"/>
  <c r="I657" i="52" s="1"/>
  <c r="H656" i="52"/>
  <c r="I656" i="52" s="1"/>
  <c r="H655" i="52"/>
  <c r="I655" i="52" s="1"/>
  <c r="H654" i="52"/>
  <c r="I654" i="52" s="1"/>
  <c r="H652" i="52"/>
  <c r="I652" i="52" s="1"/>
  <c r="H651" i="52"/>
  <c r="I651" i="52" s="1"/>
  <c r="H650" i="52"/>
  <c r="I650" i="52" s="1"/>
  <c r="H645" i="52"/>
  <c r="I645" i="52" s="1"/>
  <c r="H644" i="52"/>
  <c r="I644" i="52" s="1"/>
  <c r="H643" i="52"/>
  <c r="I643" i="52" s="1"/>
  <c r="H642" i="52"/>
  <c r="I642" i="52" s="1"/>
  <c r="H637" i="52"/>
  <c r="I637" i="52" s="1"/>
  <c r="H636" i="52"/>
  <c r="I636" i="52" s="1"/>
  <c r="H635" i="52"/>
  <c r="I635" i="52" s="1"/>
  <c r="H634" i="52"/>
  <c r="I634" i="52" s="1"/>
  <c r="H633" i="52"/>
  <c r="I633" i="52" s="1"/>
  <c r="H632" i="52"/>
  <c r="I632" i="52" s="1"/>
  <c r="H627" i="52"/>
  <c r="I627" i="52" s="1"/>
  <c r="H626" i="52"/>
  <c r="I626" i="52" s="1"/>
  <c r="H625" i="52"/>
  <c r="I625" i="52" s="1"/>
  <c r="H624" i="52"/>
  <c r="I624" i="52" s="1"/>
  <c r="H623" i="52"/>
  <c r="I623" i="52" s="1"/>
  <c r="H618" i="52"/>
  <c r="I618" i="52" s="1"/>
  <c r="H617" i="52"/>
  <c r="I617" i="52" s="1"/>
  <c r="H616" i="52"/>
  <c r="I616" i="52" s="1"/>
  <c r="H615" i="52"/>
  <c r="I615" i="52" s="1"/>
  <c r="H614" i="52"/>
  <c r="I614" i="52" s="1"/>
  <c r="H609" i="52"/>
  <c r="I609" i="52" s="1"/>
  <c r="H608" i="52"/>
  <c r="I608" i="52" s="1"/>
  <c r="H607" i="52"/>
  <c r="I607" i="52" s="1"/>
  <c r="H606" i="52"/>
  <c r="I606" i="52" s="1"/>
  <c r="H605" i="52"/>
  <c r="I605" i="52" s="1"/>
  <c r="H604" i="52"/>
  <c r="I604" i="52" s="1"/>
  <c r="H603" i="52"/>
  <c r="I603" i="52" s="1"/>
  <c r="H598" i="52"/>
  <c r="I598" i="52" s="1"/>
  <c r="H597" i="52"/>
  <c r="I597" i="52" s="1"/>
  <c r="H596" i="52"/>
  <c r="I596" i="52" s="1"/>
  <c r="H595" i="52"/>
  <c r="I595" i="52" s="1"/>
  <c r="H594" i="52"/>
  <c r="I594" i="52" s="1"/>
  <c r="H589" i="52"/>
  <c r="I589" i="52" s="1"/>
  <c r="H588" i="52"/>
  <c r="I588" i="52" s="1"/>
  <c r="H587" i="52"/>
  <c r="I587" i="52" s="1"/>
  <c r="H586" i="52"/>
  <c r="I586" i="52" s="1"/>
  <c r="H585" i="52"/>
  <c r="I585" i="52" s="1"/>
  <c r="H580" i="52"/>
  <c r="I580" i="52" s="1"/>
  <c r="H579" i="52"/>
  <c r="I579" i="52" s="1"/>
  <c r="H577" i="52"/>
  <c r="I577" i="52" s="1"/>
  <c r="H576" i="52"/>
  <c r="I576" i="52" s="1"/>
  <c r="H575" i="52"/>
  <c r="I575" i="52" s="1"/>
  <c r="H574" i="52"/>
  <c r="I574" i="52" s="1"/>
  <c r="H573" i="52"/>
  <c r="I573" i="52" s="1"/>
  <c r="H568" i="52"/>
  <c r="I568" i="52" s="1"/>
  <c r="H567" i="52"/>
  <c r="I567" i="52" s="1"/>
  <c r="H566" i="52"/>
  <c r="I566" i="52" s="1"/>
  <c r="H562" i="52"/>
  <c r="I562" i="52" s="1"/>
  <c r="H561" i="52"/>
  <c r="I561" i="52" s="1"/>
  <c r="H560" i="52"/>
  <c r="I560" i="52" s="1"/>
  <c r="H559" i="52"/>
  <c r="I559" i="52" s="1"/>
  <c r="H554" i="52"/>
  <c r="I554" i="52" s="1"/>
  <c r="H553" i="52"/>
  <c r="I553" i="52" s="1"/>
  <c r="H552" i="52"/>
  <c r="I552" i="52" s="1"/>
  <c r="H551" i="52"/>
  <c r="I551" i="52" s="1"/>
  <c r="H550" i="52"/>
  <c r="I550" i="52" s="1"/>
  <c r="H545" i="52"/>
  <c r="I545" i="52" s="1"/>
  <c r="H544" i="52"/>
  <c r="I544" i="52" s="1"/>
  <c r="H543" i="52"/>
  <c r="I543" i="52" s="1"/>
  <c r="H542" i="52"/>
  <c r="I542" i="52" s="1"/>
  <c r="H541" i="52"/>
  <c r="I541" i="52" s="1"/>
  <c r="H536" i="52"/>
  <c r="I536" i="52" s="1"/>
  <c r="H535" i="52"/>
  <c r="I535" i="52" s="1"/>
  <c r="H534" i="52"/>
  <c r="I534" i="52" s="1"/>
  <c r="H533" i="52"/>
  <c r="I533" i="52" s="1"/>
  <c r="H532" i="52"/>
  <c r="I532" i="52" s="1"/>
  <c r="H527" i="52"/>
  <c r="I527" i="52" s="1"/>
  <c r="H526" i="52"/>
  <c r="I526" i="52" s="1"/>
  <c r="H525" i="52"/>
  <c r="I525" i="52" s="1"/>
  <c r="H524" i="52"/>
  <c r="I524" i="52" s="1"/>
  <c r="H523" i="52"/>
  <c r="I523" i="52" s="1"/>
  <c r="H518" i="52"/>
  <c r="I518" i="52" s="1"/>
  <c r="H517" i="52"/>
  <c r="I517" i="52" s="1"/>
  <c r="H516" i="52"/>
  <c r="I516" i="52" s="1"/>
  <c r="H515" i="52"/>
  <c r="I515" i="52" s="1"/>
  <c r="H514" i="52"/>
  <c r="I514" i="52" s="1"/>
  <c r="H509" i="52"/>
  <c r="I509" i="52" s="1"/>
  <c r="H508" i="52"/>
  <c r="I508" i="52" s="1"/>
  <c r="H507" i="52"/>
  <c r="I507" i="52" s="1"/>
  <c r="H506" i="52"/>
  <c r="I506" i="52" s="1"/>
  <c r="H505" i="52"/>
  <c r="I505" i="52" s="1"/>
  <c r="H504" i="52"/>
  <c r="I504" i="52" s="1"/>
  <c r="H499" i="52"/>
  <c r="I499" i="52" s="1"/>
  <c r="H498" i="52"/>
  <c r="I498" i="52" s="1"/>
  <c r="H497" i="52"/>
  <c r="I497" i="52" s="1"/>
  <c r="H496" i="52"/>
  <c r="I496" i="52" s="1"/>
  <c r="H495" i="52"/>
  <c r="I495" i="52" s="1"/>
  <c r="H494" i="52"/>
  <c r="I494" i="52" s="1"/>
  <c r="H493" i="52"/>
  <c r="I493" i="52" s="1"/>
  <c r="H488" i="52"/>
  <c r="I488" i="52" s="1"/>
  <c r="H487" i="52"/>
  <c r="I487" i="52" s="1"/>
  <c r="H482" i="52"/>
  <c r="I482" i="52" s="1"/>
  <c r="H481" i="52"/>
  <c r="I481" i="52" s="1"/>
  <c r="H480" i="52"/>
  <c r="I480" i="52" s="1"/>
  <c r="H479" i="52"/>
  <c r="I479" i="52" s="1"/>
  <c r="H478" i="52"/>
  <c r="I478" i="52" s="1"/>
  <c r="H477" i="52"/>
  <c r="I477" i="52" s="1"/>
  <c r="H476" i="52"/>
  <c r="I476" i="52" s="1"/>
  <c r="H471" i="52"/>
  <c r="I471" i="52" s="1"/>
  <c r="H470" i="52"/>
  <c r="I470" i="52" s="1"/>
  <c r="H469" i="52"/>
  <c r="I469" i="52" s="1"/>
  <c r="H468" i="52"/>
  <c r="I468" i="52" s="1"/>
  <c r="H467" i="52"/>
  <c r="I467" i="52" s="1"/>
  <c r="H462" i="52"/>
  <c r="I462" i="52" s="1"/>
  <c r="H461" i="52"/>
  <c r="I461" i="52" s="1"/>
  <c r="H460" i="52"/>
  <c r="I460" i="52" s="1"/>
  <c r="H459" i="52"/>
  <c r="I459" i="52" s="1"/>
  <c r="H458" i="52"/>
  <c r="I458" i="52" s="1"/>
  <c r="H453" i="52"/>
  <c r="I453" i="52" s="1"/>
  <c r="H452" i="52"/>
  <c r="I452" i="52" s="1"/>
  <c r="H451" i="52"/>
  <c r="I451" i="52" s="1"/>
  <c r="H450" i="52"/>
  <c r="I450" i="52" s="1"/>
  <c r="H449" i="52"/>
  <c r="I449" i="52" s="1"/>
  <c r="H444" i="52"/>
  <c r="I444" i="52" s="1"/>
  <c r="H443" i="52"/>
  <c r="I443" i="52" s="1"/>
  <c r="H442" i="52"/>
  <c r="I442" i="52" s="1"/>
  <c r="H441" i="52"/>
  <c r="I441" i="52" s="1"/>
  <c r="H440" i="52"/>
  <c r="I440" i="52" s="1"/>
  <c r="H435" i="52"/>
  <c r="I435" i="52" s="1"/>
  <c r="H434" i="52"/>
  <c r="I434" i="52" s="1"/>
  <c r="H433" i="52"/>
  <c r="I433" i="52" s="1"/>
  <c r="H432" i="52"/>
  <c r="I432" i="52" s="1"/>
  <c r="H431" i="52"/>
  <c r="I431" i="52" s="1"/>
  <c r="H426" i="52"/>
  <c r="I426" i="52" s="1"/>
  <c r="H425" i="52"/>
  <c r="I425" i="52" s="1"/>
  <c r="H424" i="52"/>
  <c r="I424" i="52" s="1"/>
  <c r="H423" i="52"/>
  <c r="I423" i="52" s="1"/>
  <c r="H422" i="52"/>
  <c r="I422" i="52" s="1"/>
  <c r="H421" i="52"/>
  <c r="I421" i="52" s="1"/>
  <c r="H420" i="52"/>
  <c r="I420" i="52" s="1"/>
  <c r="H415" i="52"/>
  <c r="I415" i="52" s="1"/>
  <c r="H414" i="52"/>
  <c r="I414" i="52" s="1"/>
  <c r="H413" i="52"/>
  <c r="I413" i="52" s="1"/>
  <c r="H412" i="52"/>
  <c r="I412" i="52" s="1"/>
  <c r="H411" i="52"/>
  <c r="I411" i="52" s="1"/>
  <c r="H410" i="52"/>
  <c r="I410" i="52" s="1"/>
  <c r="H406" i="52"/>
  <c r="I406" i="52" s="1"/>
  <c r="H401" i="52"/>
  <c r="I401" i="52" s="1"/>
  <c r="H396" i="52"/>
  <c r="I396" i="52" s="1"/>
  <c r="H395" i="52"/>
  <c r="I395" i="52" s="1"/>
  <c r="H390" i="52"/>
  <c r="I390" i="52" s="1"/>
  <c r="H389" i="52"/>
  <c r="I389" i="52" s="1"/>
  <c r="H388" i="52"/>
  <c r="I388" i="52" s="1"/>
  <c r="H387" i="52"/>
  <c r="I387" i="52" s="1"/>
  <c r="H382" i="52"/>
  <c r="I382" i="52" s="1"/>
  <c r="H377" i="52"/>
  <c r="I377" i="52" s="1"/>
  <c r="H376" i="52"/>
  <c r="I376" i="52" s="1"/>
  <c r="H375" i="52"/>
  <c r="I375" i="52" s="1"/>
  <c r="H374" i="52"/>
  <c r="I374" i="52" s="1"/>
  <c r="H369" i="52"/>
  <c r="I369" i="52" s="1"/>
  <c r="H368" i="52"/>
  <c r="I368" i="52" s="1"/>
  <c r="H367" i="52"/>
  <c r="I367" i="52" s="1"/>
  <c r="H366" i="52"/>
  <c r="I366" i="52" s="1"/>
  <c r="H365" i="52"/>
  <c r="I365" i="52" s="1"/>
  <c r="H364" i="52"/>
  <c r="I364" i="52" s="1"/>
  <c r="H359" i="52"/>
  <c r="I359" i="52" s="1"/>
  <c r="H358" i="52"/>
  <c r="I358" i="52" s="1"/>
  <c r="H357" i="52"/>
  <c r="I357" i="52" s="1"/>
  <c r="H356" i="52"/>
  <c r="I356" i="52" s="1"/>
  <c r="H355" i="52"/>
  <c r="I355" i="52" s="1"/>
  <c r="H353" i="52"/>
  <c r="I353" i="52" s="1"/>
  <c r="H352" i="52"/>
  <c r="I352" i="52" s="1"/>
  <c r="H347" i="52"/>
  <c r="I347" i="52" s="1"/>
  <c r="H346" i="52"/>
  <c r="I346" i="52" s="1"/>
  <c r="H345" i="52"/>
  <c r="I345" i="52" s="1"/>
  <c r="H344" i="52"/>
  <c r="I344" i="52" s="1"/>
  <c r="H343" i="52"/>
  <c r="I343" i="52" s="1"/>
  <c r="H342" i="52"/>
  <c r="I342" i="52" s="1"/>
  <c r="H274" i="52"/>
  <c r="I274" i="52" s="1"/>
  <c r="H269" i="52"/>
  <c r="I269" i="52" s="1"/>
  <c r="H268" i="52"/>
  <c r="I268" i="52" s="1"/>
  <c r="H267" i="52"/>
  <c r="I267" i="52" s="1"/>
  <c r="H266" i="52"/>
  <c r="I266" i="52" s="1"/>
  <c r="H265" i="52"/>
  <c r="I265" i="52" s="1"/>
  <c r="H264" i="52"/>
  <c r="I264" i="52" s="1"/>
  <c r="H227" i="52"/>
  <c r="I227" i="52" s="1"/>
  <c r="H222" i="52"/>
  <c r="I222" i="52" s="1"/>
  <c r="H221" i="52"/>
  <c r="I221" i="52" s="1"/>
  <c r="H220" i="52"/>
  <c r="I220" i="52" s="1"/>
  <c r="H219" i="52"/>
  <c r="I219" i="52" s="1"/>
  <c r="H218" i="52"/>
  <c r="I218" i="52" s="1"/>
  <c r="H217" i="52"/>
  <c r="I217" i="52" s="1"/>
  <c r="H181" i="52"/>
  <c r="I181" i="52" s="1"/>
  <c r="H176" i="52"/>
  <c r="I176" i="52" s="1"/>
  <c r="H175" i="52"/>
  <c r="I175" i="52" s="1"/>
  <c r="H174" i="52"/>
  <c r="I174" i="52" s="1"/>
  <c r="H173" i="52"/>
  <c r="I173" i="52" s="1"/>
  <c r="H172" i="52"/>
  <c r="I172" i="52" s="1"/>
  <c r="H171" i="52"/>
  <c r="I171" i="52" s="1"/>
  <c r="H101" i="52"/>
  <c r="I101" i="52" s="1"/>
  <c r="H96" i="52"/>
  <c r="I96" i="52" s="1"/>
  <c r="H95" i="52"/>
  <c r="I95" i="52" s="1"/>
  <c r="H94" i="52"/>
  <c r="I94" i="52" s="1"/>
  <c r="H93" i="52"/>
  <c r="I93" i="52" s="1"/>
  <c r="H92" i="52"/>
  <c r="I92" i="52" s="1"/>
  <c r="H79" i="52"/>
  <c r="I79" i="52" s="1"/>
  <c r="H78" i="52"/>
  <c r="I78" i="52" s="1"/>
  <c r="H73" i="52"/>
  <c r="I73" i="52" s="1"/>
  <c r="H72" i="52"/>
  <c r="I72" i="52" s="1"/>
  <c r="H71" i="52"/>
  <c r="I71" i="52" s="1"/>
  <c r="H70" i="52"/>
  <c r="I70" i="52" s="1"/>
  <c r="H69" i="52"/>
  <c r="I69" i="52" s="1"/>
  <c r="H68" i="52"/>
  <c r="I68" i="52" s="1"/>
  <c r="H63" i="52"/>
  <c r="I63" i="52" s="1"/>
  <c r="H58" i="52"/>
  <c r="I58" i="52" s="1"/>
  <c r="H57" i="52"/>
  <c r="I57" i="52" s="1"/>
  <c r="H56" i="52"/>
  <c r="I56" i="52" s="1"/>
  <c r="H55" i="52"/>
  <c r="I55" i="52" s="1"/>
  <c r="H54" i="52"/>
  <c r="I54" i="52" s="1"/>
  <c r="H53" i="52"/>
  <c r="I53" i="52" s="1"/>
  <c r="H50" i="52"/>
  <c r="I50" i="52" s="1"/>
  <c r="H45" i="52"/>
  <c r="I45" i="52" s="1"/>
  <c r="H44" i="52"/>
  <c r="I44" i="52" s="1"/>
  <c r="H39" i="52"/>
  <c r="I39" i="52" s="1"/>
  <c r="H38" i="52"/>
  <c r="I38" i="52" s="1"/>
  <c r="H37" i="52"/>
  <c r="I37" i="52" s="1"/>
  <c r="H36" i="52"/>
  <c r="I36" i="52" s="1"/>
  <c r="B2666" i="52" l="1"/>
  <c r="B2610" i="52"/>
  <c r="B2641" i="52"/>
  <c r="I2624" i="52"/>
  <c r="B2649" i="52"/>
  <c r="B2603" i="52"/>
  <c r="B2597" i="52"/>
  <c r="B2617" i="52"/>
  <c r="I2560" i="52"/>
  <c r="B2470" i="52"/>
  <c r="B2573" i="52"/>
  <c r="B2537" i="52"/>
  <c r="B2585" i="52"/>
  <c r="I2500" i="52"/>
  <c r="I2516" i="52"/>
  <c r="B2547" i="52"/>
  <c r="B2532" i="52"/>
  <c r="B2542" i="52"/>
  <c r="I2462" i="52"/>
  <c r="I2488" i="52"/>
  <c r="B2509" i="52"/>
  <c r="B2524" i="52"/>
  <c r="B2396" i="52"/>
  <c r="B2337" i="52"/>
  <c r="B2479" i="52"/>
  <c r="B2440" i="52"/>
  <c r="I2448" i="52"/>
  <c r="I2427" i="52"/>
  <c r="B2372" i="52"/>
  <c r="I2279" i="52"/>
  <c r="B2314" i="52"/>
  <c r="I2379" i="52"/>
  <c r="B2416" i="52"/>
  <c r="B2355" i="52"/>
  <c r="B2388" i="52"/>
  <c r="B2405" i="52"/>
  <c r="I2360" i="52"/>
  <c r="B2344" i="52"/>
  <c r="B2330" i="52"/>
  <c r="B2200" i="52"/>
  <c r="B2323" i="52"/>
  <c r="B2273" i="52"/>
  <c r="B2303" i="52"/>
  <c r="B2163" i="52"/>
  <c r="B2296" i="52"/>
  <c r="B2129" i="52"/>
  <c r="I2265" i="52"/>
  <c r="I2288" i="52"/>
  <c r="B2155" i="52"/>
  <c r="I2250" i="52"/>
  <c r="B2191" i="52"/>
  <c r="B2234" i="52"/>
  <c r="B2209" i="52"/>
  <c r="B2227" i="52"/>
  <c r="I2218" i="52"/>
  <c r="B2242" i="52"/>
  <c r="B2258" i="52"/>
  <c r="B2147" i="52"/>
  <c r="B2171" i="52"/>
  <c r="B2138" i="52"/>
  <c r="B2119" i="52"/>
  <c r="B2020" i="52"/>
  <c r="B2111" i="52"/>
  <c r="B2102" i="52"/>
  <c r="B2093" i="52"/>
  <c r="B2083" i="52"/>
  <c r="B2044" i="52"/>
  <c r="B2074" i="52"/>
  <c r="B2034" i="52"/>
  <c r="I2065" i="52"/>
  <c r="I1995" i="52"/>
  <c r="B1971" i="52"/>
  <c r="B2027" i="52"/>
  <c r="B1939" i="52"/>
  <c r="I2056" i="52"/>
  <c r="B2010" i="52"/>
  <c r="I2054" i="52"/>
  <c r="J2044" i="52" s="1"/>
  <c r="I2063" i="52"/>
  <c r="J2056" i="52" s="1"/>
  <c r="I2042" i="52"/>
  <c r="J2034" i="52" s="1"/>
  <c r="I2507" i="52"/>
  <c r="J2500" i="52" s="1"/>
  <c r="I2377" i="52"/>
  <c r="J2372" i="52" s="1"/>
  <c r="I2403" i="52"/>
  <c r="J2396" i="52" s="1"/>
  <c r="I2446" i="52"/>
  <c r="J2440" i="52" s="1"/>
  <c r="I2414" i="52"/>
  <c r="J2405" i="52" s="1"/>
  <c r="I2460" i="52"/>
  <c r="J2448" i="52" s="1"/>
  <c r="I2486" i="52"/>
  <c r="J2479" i="52" s="1"/>
  <c r="I2091" i="52"/>
  <c r="J2083" i="52" s="1"/>
  <c r="I2425" i="52"/>
  <c r="J2416" i="52" s="1"/>
  <c r="I2498" i="52"/>
  <c r="J2488" i="52" s="1"/>
  <c r="I2394" i="52"/>
  <c r="J2388" i="52" s="1"/>
  <c r="I2438" i="52"/>
  <c r="J2427" i="52" s="1"/>
  <c r="I2468" i="52"/>
  <c r="J2462" i="52" s="1"/>
  <c r="I2477" i="52"/>
  <c r="J2470" i="52" s="1"/>
  <c r="I2558" i="52"/>
  <c r="J2547" i="52" s="1"/>
  <c r="I2595" i="52"/>
  <c r="J2585" i="52" s="1"/>
  <c r="B1979" i="52"/>
  <c r="I2117" i="52"/>
  <c r="J2111" i="52" s="1"/>
  <c r="I2153" i="52"/>
  <c r="J2147" i="52" s="1"/>
  <c r="I2198" i="52"/>
  <c r="J2191" i="52" s="1"/>
  <c r="I2225" i="52"/>
  <c r="J2218" i="52" s="1"/>
  <c r="I2248" i="52"/>
  <c r="J2242" i="52" s="1"/>
  <c r="I2277" i="52"/>
  <c r="J2273" i="52" s="1"/>
  <c r="I2540" i="52"/>
  <c r="J2537" i="52" s="1"/>
  <c r="I2571" i="52"/>
  <c r="J2560" i="52" s="1"/>
  <c r="I2608" i="52"/>
  <c r="J2603" i="52" s="1"/>
  <c r="B1987" i="52"/>
  <c r="I2169" i="52"/>
  <c r="J2163" i="52" s="1"/>
  <c r="I2207" i="52"/>
  <c r="J2200" i="52" s="1"/>
  <c r="I2256" i="52"/>
  <c r="J2250" i="52" s="1"/>
  <c r="I2328" i="52"/>
  <c r="J2323" i="52" s="1"/>
  <c r="I2535" i="52"/>
  <c r="J2532" i="52" s="1"/>
  <c r="I2601" i="52"/>
  <c r="J2597" i="52" s="1"/>
  <c r="I2032" i="52"/>
  <c r="J2027" i="52" s="1"/>
  <c r="I2136" i="52"/>
  <c r="J2129" i="52" s="1"/>
  <c r="I2232" i="52"/>
  <c r="J2227" i="52" s="1"/>
  <c r="I2263" i="52"/>
  <c r="J2258" i="52" s="1"/>
  <c r="I2312" i="52"/>
  <c r="J2303" i="52" s="1"/>
  <c r="I2216" i="52"/>
  <c r="J2209" i="52" s="1"/>
  <c r="I2240" i="52"/>
  <c r="J2234" i="52" s="1"/>
  <c r="I2271" i="52"/>
  <c r="J2265" i="52" s="1"/>
  <c r="I2294" i="52"/>
  <c r="J2288" i="52" s="1"/>
  <c r="I2335" i="52"/>
  <c r="J2330" i="52" s="1"/>
  <c r="I2342" i="52"/>
  <c r="J2337" i="52" s="1"/>
  <c r="I2545" i="52"/>
  <c r="J2542" i="52" s="1"/>
  <c r="I2583" i="52"/>
  <c r="J2573" i="52" s="1"/>
  <c r="I2615" i="52"/>
  <c r="J2610" i="52" s="1"/>
  <c r="I2161" i="52"/>
  <c r="J2155" i="52" s="1"/>
  <c r="I2514" i="52"/>
  <c r="J2509" i="52" s="1"/>
  <c r="I2522" i="52"/>
  <c r="J2516" i="52" s="1"/>
  <c r="I2647" i="52"/>
  <c r="J2641" i="52" s="1"/>
  <c r="I2659" i="52"/>
  <c r="J2656" i="52" s="1"/>
  <c r="I2664" i="52"/>
  <c r="J2661" i="52" s="1"/>
  <c r="I2670" i="52"/>
  <c r="J2666" i="52" s="1"/>
  <c r="I2631" i="52"/>
  <c r="J2624" i="52" s="1"/>
  <c r="I2654" i="52"/>
  <c r="J2649" i="52" s="1"/>
  <c r="I2622" i="52"/>
  <c r="J2617" i="52" s="1"/>
  <c r="I2639" i="52"/>
  <c r="J2633" i="52" s="1"/>
  <c r="I2530" i="52"/>
  <c r="J2524" i="52" s="1"/>
  <c r="I2358" i="52"/>
  <c r="J2355" i="52" s="1"/>
  <c r="I2370" i="52"/>
  <c r="J2360" i="52" s="1"/>
  <c r="I2386" i="52"/>
  <c r="J2379" i="52" s="1"/>
  <c r="I2286" i="52"/>
  <c r="J2279" i="52" s="1"/>
  <c r="I2301" i="52"/>
  <c r="J2296" i="52" s="1"/>
  <c r="I2321" i="52"/>
  <c r="J2314" i="52" s="1"/>
  <c r="I2353" i="52"/>
  <c r="J2344" i="52" s="1"/>
  <c r="I2189" i="52"/>
  <c r="J2171" i="52" s="1"/>
  <c r="I2100" i="52"/>
  <c r="J2093" i="52" s="1"/>
  <c r="I2109" i="52"/>
  <c r="J2102" i="52" s="1"/>
  <c r="I2127" i="52"/>
  <c r="J2119" i="52" s="1"/>
  <c r="I2145" i="52"/>
  <c r="J2138" i="52" s="1"/>
  <c r="I2081" i="52"/>
  <c r="J2074" i="52" s="1"/>
  <c r="I2072" i="52"/>
  <c r="J2065" i="52" s="1"/>
  <c r="I2025" i="52"/>
  <c r="J2020" i="52" s="1"/>
  <c r="I2018" i="52"/>
  <c r="J2010" i="52" s="1"/>
  <c r="I2008" i="52"/>
  <c r="J2003" i="52" s="1"/>
  <c r="B2003" i="52"/>
  <c r="I1894" i="52"/>
  <c r="I1921" i="52"/>
  <c r="B1955" i="52"/>
  <c r="I1860" i="52"/>
  <c r="B1913" i="52"/>
  <c r="B1850" i="52"/>
  <c r="B1947" i="52"/>
  <c r="I1885" i="52"/>
  <c r="B1878" i="52"/>
  <c r="B1963" i="52"/>
  <c r="I1930" i="52"/>
  <c r="B1740" i="52"/>
  <c r="B1907" i="52"/>
  <c r="B1870" i="52"/>
  <c r="B1901" i="52"/>
  <c r="B1764" i="52"/>
  <c r="B1840" i="52"/>
  <c r="B1802" i="52"/>
  <c r="B1830" i="52"/>
  <c r="B1821" i="52"/>
  <c r="B1792" i="52"/>
  <c r="I1811" i="52"/>
  <c r="B1696" i="52"/>
  <c r="B1782" i="52"/>
  <c r="B1772" i="52"/>
  <c r="B1756" i="52"/>
  <c r="I1724" i="52"/>
  <c r="B1748" i="52"/>
  <c r="I1716" i="52"/>
  <c r="B1732" i="52"/>
  <c r="I1435" i="52"/>
  <c r="B1677" i="52"/>
  <c r="B1706" i="52"/>
  <c r="B1657" i="52"/>
  <c r="I1461" i="52"/>
  <c r="B1573" i="52"/>
  <c r="I1667" i="52"/>
  <c r="I1624" i="52"/>
  <c r="B1687" i="52"/>
  <c r="B1558" i="52"/>
  <c r="B1616" i="52"/>
  <c r="B1587" i="52"/>
  <c r="B1647" i="52"/>
  <c r="B1640" i="52"/>
  <c r="I1632" i="52"/>
  <c r="B1601" i="52"/>
  <c r="I1551" i="52"/>
  <c r="B1609" i="52"/>
  <c r="B1594" i="52"/>
  <c r="B1565" i="52"/>
  <c r="B1581" i="52"/>
  <c r="I1521" i="52"/>
  <c r="B1528" i="52"/>
  <c r="B1478" i="52"/>
  <c r="I1536" i="52"/>
  <c r="B1543" i="52"/>
  <c r="B1500" i="52"/>
  <c r="B1493" i="52"/>
  <c r="I1514" i="52"/>
  <c r="I1428" i="52"/>
  <c r="B1422" i="52"/>
  <c r="B1507" i="52"/>
  <c r="I1448" i="52"/>
  <c r="I1442" i="52"/>
  <c r="B1468" i="52"/>
  <c r="I1454" i="52"/>
  <c r="I1415" i="52"/>
  <c r="I1381" i="52"/>
  <c r="I1315" i="52"/>
  <c r="I1374" i="52"/>
  <c r="I1406" i="52"/>
  <c r="B1398" i="52"/>
  <c r="I1336" i="52"/>
  <c r="I1367" i="52"/>
  <c r="B1359" i="52"/>
  <c r="B1390" i="52"/>
  <c r="B1351" i="52"/>
  <c r="B1292" i="52"/>
  <c r="B1343" i="52"/>
  <c r="B1284" i="52"/>
  <c r="I1308" i="52"/>
  <c r="B1300" i="52"/>
  <c r="I1329" i="52"/>
  <c r="B1322" i="52"/>
  <c r="B1254" i="52"/>
  <c r="I1277" i="52"/>
  <c r="I1270" i="52"/>
  <c r="B1232" i="52"/>
  <c r="B1172" i="52"/>
  <c r="I1226" i="52"/>
  <c r="B1262" i="52"/>
  <c r="B1199" i="52"/>
  <c r="B1246" i="52"/>
  <c r="B1238" i="52"/>
  <c r="B1214" i="52"/>
  <c r="B1220" i="52"/>
  <c r="I1207" i="52"/>
  <c r="I1178" i="52"/>
  <c r="I1112" i="52"/>
  <c r="B1166" i="52"/>
  <c r="B1136" i="52"/>
  <c r="B1191" i="52"/>
  <c r="B1185" i="52"/>
  <c r="I1159" i="52"/>
  <c r="B1096" i="52"/>
  <c r="B1088" i="52"/>
  <c r="I1152" i="52"/>
  <c r="B1144" i="52"/>
  <c r="B1104" i="52"/>
  <c r="I1120" i="52"/>
  <c r="I1032" i="52"/>
  <c r="B1128" i="52"/>
  <c r="B1072" i="52"/>
  <c r="B1064" i="52"/>
  <c r="B1056" i="52"/>
  <c r="B1080" i="52"/>
  <c r="I1039" i="52"/>
  <c r="B1046" i="52"/>
  <c r="I902" i="52"/>
  <c r="I958" i="52"/>
  <c r="I986" i="52"/>
  <c r="I1025" i="52"/>
  <c r="I965" i="52"/>
  <c r="B993" i="52"/>
  <c r="I1008" i="52"/>
  <c r="I979" i="52"/>
  <c r="I944" i="52"/>
  <c r="I972" i="52"/>
  <c r="I1001" i="52"/>
  <c r="I892" i="52"/>
  <c r="I866" i="52"/>
  <c r="I931" i="52"/>
  <c r="B861" i="52"/>
  <c r="I951" i="52"/>
  <c r="B936" i="52"/>
  <c r="B799" i="52"/>
  <c r="B925" i="52"/>
  <c r="B920" i="52"/>
  <c r="B911" i="52"/>
  <c r="B884" i="52"/>
  <c r="I815" i="52"/>
  <c r="B876" i="52"/>
  <c r="B847" i="52"/>
  <c r="I838" i="52"/>
  <c r="B792" i="52"/>
  <c r="B853" i="52"/>
  <c r="I822" i="52"/>
  <c r="B778" i="52"/>
  <c r="I829" i="52"/>
  <c r="I806" i="52"/>
  <c r="I735" i="52"/>
  <c r="I785" i="52"/>
  <c r="I753" i="52"/>
  <c r="I771" i="52"/>
  <c r="I728" i="52"/>
  <c r="I684" i="52"/>
  <c r="I762" i="52"/>
  <c r="B744" i="52"/>
  <c r="B706" i="52"/>
  <c r="B696" i="52"/>
  <c r="I721" i="52"/>
  <c r="I640" i="52"/>
  <c r="B660" i="52"/>
  <c r="I716" i="52"/>
  <c r="I621" i="52"/>
  <c r="I539" i="52"/>
  <c r="B648" i="52"/>
  <c r="B583" i="52"/>
  <c r="B380" i="52"/>
  <c r="B672" i="52"/>
  <c r="I612" i="52"/>
  <c r="B571" i="52"/>
  <c r="B592" i="52"/>
  <c r="B548" i="52"/>
  <c r="B630" i="52"/>
  <c r="B601" i="52"/>
  <c r="B512" i="52"/>
  <c r="I474" i="52"/>
  <c r="I465" i="52"/>
  <c r="B502" i="52"/>
  <c r="I557" i="52"/>
  <c r="I350" i="52"/>
  <c r="B530" i="52"/>
  <c r="B521" i="52"/>
  <c r="B438" i="52"/>
  <c r="I429" i="52"/>
  <c r="B491" i="52"/>
  <c r="B456" i="52"/>
  <c r="B447" i="52"/>
  <c r="I485" i="52"/>
  <c r="I362" i="52"/>
  <c r="B418" i="52"/>
  <c r="B399" i="52"/>
  <c r="B404" i="52"/>
  <c r="B393" i="52"/>
  <c r="B372" i="52"/>
  <c r="B225" i="52"/>
  <c r="I272" i="52"/>
  <c r="I1534" i="52"/>
  <c r="J1528" i="52" s="1"/>
  <c r="I1563" i="52"/>
  <c r="J1558" i="52" s="1"/>
  <c r="I1599" i="52"/>
  <c r="J1594" i="52" s="1"/>
  <c r="I1630" i="52"/>
  <c r="J1624" i="52" s="1"/>
  <c r="I670" i="52"/>
  <c r="J660" i="52" s="1"/>
  <c r="I742" i="52"/>
  <c r="J735" i="52" s="1"/>
  <c r="I874" i="52"/>
  <c r="J866" i="52" s="1"/>
  <c r="I1212" i="52"/>
  <c r="J1207" i="52" s="1"/>
  <c r="I628" i="52"/>
  <c r="J621" i="52" s="1"/>
  <c r="I1585" i="52"/>
  <c r="J1581" i="52" s="1"/>
  <c r="I1614" i="52"/>
  <c r="J1609" i="52" s="1"/>
  <c r="I1645" i="52"/>
  <c r="J1640" i="52" s="1"/>
  <c r="B99" i="52"/>
  <c r="I99" i="52"/>
  <c r="I714" i="52"/>
  <c r="J706" i="52" s="1"/>
  <c r="I590" i="52"/>
  <c r="J583" i="52" s="1"/>
  <c r="I179" i="52"/>
  <c r="I270" i="52"/>
  <c r="J225" i="52" s="1"/>
  <c r="I76" i="52"/>
  <c r="B61" i="52"/>
  <c r="B48" i="52"/>
  <c r="B42" i="52"/>
  <c r="I977" i="52"/>
  <c r="J972" i="52" s="1"/>
  <c r="I581" i="52"/>
  <c r="J571" i="52" s="1"/>
  <c r="I619" i="52"/>
  <c r="J612" i="52" s="1"/>
  <c r="I658" i="52"/>
  <c r="J648" i="52" s="1"/>
  <c r="I704" i="52"/>
  <c r="J696" i="52" s="1"/>
  <c r="I733" i="52"/>
  <c r="J728" i="52" s="1"/>
  <c r="I769" i="52"/>
  <c r="J762" i="52" s="1"/>
  <c r="I909" i="52"/>
  <c r="J902" i="52" s="1"/>
  <c r="I991" i="52"/>
  <c r="J986" i="52" s="1"/>
  <c r="I1420" i="52"/>
  <c r="J1415" i="52" s="1"/>
  <c r="I59" i="52"/>
  <c r="J48" i="52" s="1"/>
  <c r="I74" i="52"/>
  <c r="J61" i="52" s="1"/>
  <c r="I223" i="52"/>
  <c r="J179" i="52" s="1"/>
  <c r="I436" i="52"/>
  <c r="J429" i="52" s="1"/>
  <c r="I569" i="52"/>
  <c r="J557" i="52" s="1"/>
  <c r="I610" i="52"/>
  <c r="J601" i="52" s="1"/>
  <c r="I646" i="52"/>
  <c r="J640" i="52" s="1"/>
  <c r="I694" i="52"/>
  <c r="J684" i="52" s="1"/>
  <c r="I726" i="52"/>
  <c r="J721" i="52" s="1"/>
  <c r="I760" i="52"/>
  <c r="J753" i="52" s="1"/>
  <c r="I1006" i="52"/>
  <c r="J1001" i="52" s="1"/>
  <c r="I1157" i="52"/>
  <c r="J1152" i="52" s="1"/>
  <c r="I1704" i="52"/>
  <c r="J1696" i="52" s="1"/>
  <c r="I519" i="52"/>
  <c r="J512" i="52" s="1"/>
  <c r="I555" i="52"/>
  <c r="J548" i="52" s="1"/>
  <c r="I599" i="52"/>
  <c r="J592" i="52" s="1"/>
  <c r="I638" i="52"/>
  <c r="J630" i="52" s="1"/>
  <c r="I682" i="52"/>
  <c r="J672" i="52" s="1"/>
  <c r="I719" i="52"/>
  <c r="J716" i="52" s="1"/>
  <c r="I751" i="52"/>
  <c r="J744" i="52" s="1"/>
  <c r="I918" i="52"/>
  <c r="J911" i="52" s="1"/>
  <c r="I1993" i="52"/>
  <c r="J1987" i="52" s="1"/>
  <c r="I851" i="52"/>
  <c r="J847" i="52" s="1"/>
  <c r="I882" i="52"/>
  <c r="J876" i="52" s="1"/>
  <c r="I1224" i="52"/>
  <c r="J1220" i="52" s="1"/>
  <c r="I1446" i="52"/>
  <c r="J1442" i="52" s="1"/>
  <c r="I1466" i="52"/>
  <c r="J1461" i="52" s="1"/>
  <c r="I1476" i="52"/>
  <c r="J1468" i="52" s="1"/>
  <c r="I370" i="52"/>
  <c r="J362" i="52" s="1"/>
  <c r="I463" i="52"/>
  <c r="J456" i="52" s="1"/>
  <c r="I790" i="52"/>
  <c r="J785" i="52" s="1"/>
  <c r="I97" i="52"/>
  <c r="J76" i="52" s="1"/>
  <c r="I177" i="52"/>
  <c r="J99" i="52" s="1"/>
  <c r="I348" i="52"/>
  <c r="J272" i="52" s="1"/>
  <c r="I427" i="52"/>
  <c r="J418" i="52" s="1"/>
  <c r="I445" i="52"/>
  <c r="J438" i="52" s="1"/>
  <c r="I483" i="52"/>
  <c r="J474" i="52" s="1"/>
  <c r="I783" i="52"/>
  <c r="J778" i="52" s="1"/>
  <c r="I797" i="52"/>
  <c r="J792" i="52" s="1"/>
  <c r="I813" i="52"/>
  <c r="J806" i="52" s="1"/>
  <c r="I537" i="52"/>
  <c r="J530" i="52" s="1"/>
  <c r="I776" i="52"/>
  <c r="J771" i="52" s="1"/>
  <c r="I804" i="52"/>
  <c r="J799" i="52" s="1"/>
  <c r="I949" i="52"/>
  <c r="J944" i="52" s="1"/>
  <c r="I1037" i="52"/>
  <c r="J1032" i="52" s="1"/>
  <c r="I1044" i="52"/>
  <c r="J1039" i="52" s="1"/>
  <c r="I1062" i="52"/>
  <c r="J1056" i="52" s="1"/>
  <c r="I1078" i="52"/>
  <c r="J1072" i="52" s="1"/>
  <c r="I1142" i="52"/>
  <c r="J1136" i="52" s="1"/>
  <c r="I1170" i="52"/>
  <c r="J1166" i="52" s="1"/>
  <c r="I1197" i="52"/>
  <c r="J1191" i="52" s="1"/>
  <c r="I1365" i="52"/>
  <c r="J1359" i="52" s="1"/>
  <c r="I1459" i="52"/>
  <c r="J1454" i="52" s="1"/>
  <c r="I1498" i="52"/>
  <c r="J1493" i="52" s="1"/>
  <c r="I1977" i="52"/>
  <c r="J1971" i="52" s="1"/>
  <c r="I1244" i="52"/>
  <c r="J1238" i="52" s="1"/>
  <c r="I1413" i="52"/>
  <c r="J1406" i="52" s="1"/>
  <c r="I1665" i="52"/>
  <c r="J1657" i="52" s="1"/>
  <c r="I1945" i="52"/>
  <c r="J1939" i="52" s="1"/>
  <c r="I1030" i="52"/>
  <c r="J1025" i="52" s="1"/>
  <c r="I1183" i="52"/>
  <c r="J1178" i="52" s="1"/>
  <c r="I1230" i="52"/>
  <c r="J1226" i="52" s="1"/>
  <c r="I1236" i="52"/>
  <c r="J1232" i="52" s="1"/>
  <c r="I984" i="52"/>
  <c r="J979" i="52" s="1"/>
  <c r="I1252" i="52"/>
  <c r="J1246" i="52" s="1"/>
  <c r="I1260" i="52"/>
  <c r="J1254" i="52" s="1"/>
  <c r="I1268" i="52"/>
  <c r="J1262" i="52" s="1"/>
  <c r="I1404" i="52"/>
  <c r="J1398" i="52" s="1"/>
  <c r="I1433" i="52"/>
  <c r="J1428" i="52" s="1"/>
  <c r="I1738" i="52"/>
  <c r="J1732" i="52" s="1"/>
  <c r="I1754" i="52"/>
  <c r="J1748" i="52" s="1"/>
  <c r="I1770" i="52"/>
  <c r="J1764" i="52" s="1"/>
  <c r="I1780" i="52"/>
  <c r="J1772" i="52" s="1"/>
  <c r="I1928" i="52"/>
  <c r="J1921" i="52" s="1"/>
  <c r="I1961" i="52"/>
  <c r="J1955" i="52" s="1"/>
  <c r="I1858" i="52"/>
  <c r="J1850" i="52" s="1"/>
  <c r="I1919" i="52"/>
  <c r="J1913" i="52" s="1"/>
  <c r="I1275" i="52"/>
  <c r="J1270" i="52" s="1"/>
  <c r="I1282" i="52"/>
  <c r="J1277" i="52" s="1"/>
  <c r="I1320" i="52"/>
  <c r="J1315" i="52" s="1"/>
  <c r="I1341" i="52"/>
  <c r="J1336" i="52" s="1"/>
  <c r="I1349" i="52"/>
  <c r="J1343" i="52" s="1"/>
  <c r="I1357" i="52"/>
  <c r="J1351" i="52" s="1"/>
  <c r="I1685" i="52"/>
  <c r="J1677" i="52" s="1"/>
  <c r="I1714" i="52"/>
  <c r="J1706" i="52" s="1"/>
  <c r="I1800" i="52"/>
  <c r="J1792" i="52" s="1"/>
  <c r="I1722" i="52"/>
  <c r="J1716" i="52" s="1"/>
  <c r="I1762" i="52"/>
  <c r="J1756" i="52" s="1"/>
  <c r="I1892" i="52"/>
  <c r="J1885" i="52" s="1"/>
  <c r="I1809" i="52"/>
  <c r="J1802" i="52" s="1"/>
  <c r="I1790" i="52"/>
  <c r="J1782" i="52" s="1"/>
  <c r="I1819" i="52"/>
  <c r="J1811" i="52" s="1"/>
  <c r="I1828" i="52"/>
  <c r="J1821" i="52" s="1"/>
  <c r="I1868" i="52"/>
  <c r="J1860" i="52" s="1"/>
  <c r="I1899" i="52"/>
  <c r="J1894" i="52" s="1"/>
  <c r="I1937" i="52"/>
  <c r="J1930" i="52" s="1"/>
  <c r="I1838" i="52"/>
  <c r="J1830" i="52" s="1"/>
  <c r="I1876" i="52"/>
  <c r="J1870" i="52" s="1"/>
  <c r="I1905" i="52"/>
  <c r="J1901" i="52" s="1"/>
  <c r="I1953" i="52"/>
  <c r="J1947" i="52" s="1"/>
  <c r="I1985" i="52"/>
  <c r="J1979" i="52" s="1"/>
  <c r="I2001" i="52"/>
  <c r="J1995" i="52" s="1"/>
  <c r="I1848" i="52"/>
  <c r="J1840" i="52" s="1"/>
  <c r="I1883" i="52"/>
  <c r="J1878" i="52" s="1"/>
  <c r="I1911" i="52"/>
  <c r="J1907" i="52" s="1"/>
  <c r="I1969" i="52"/>
  <c r="J1963" i="52" s="1"/>
  <c r="I1512" i="52"/>
  <c r="J1507" i="52" s="1"/>
  <c r="I1541" i="52"/>
  <c r="J1536" i="52" s="1"/>
  <c r="I1571" i="52"/>
  <c r="J1565" i="52" s="1"/>
  <c r="I1519" i="52"/>
  <c r="J1514" i="52" s="1"/>
  <c r="I1549" i="52"/>
  <c r="J1543" i="52" s="1"/>
  <c r="I1526" i="52"/>
  <c r="J1521" i="52" s="1"/>
  <c r="I1556" i="52"/>
  <c r="J1551" i="52" s="1"/>
  <c r="I1579" i="52"/>
  <c r="J1573" i="52" s="1"/>
  <c r="I1592" i="52"/>
  <c r="J1587" i="52" s="1"/>
  <c r="I1607" i="52"/>
  <c r="J1601" i="52" s="1"/>
  <c r="I1622" i="52"/>
  <c r="J1616" i="52" s="1"/>
  <c r="I1638" i="52"/>
  <c r="J1632" i="52" s="1"/>
  <c r="I1694" i="52"/>
  <c r="J1687" i="52" s="1"/>
  <c r="I1675" i="52"/>
  <c r="J1667" i="52" s="1"/>
  <c r="I1746" i="52"/>
  <c r="J1740" i="52" s="1"/>
  <c r="I1655" i="52"/>
  <c r="J1647" i="52" s="1"/>
  <c r="I1730" i="52"/>
  <c r="J1724" i="52" s="1"/>
  <c r="I1290" i="52"/>
  <c r="J1284" i="52" s="1"/>
  <c r="I1313" i="52"/>
  <c r="J1308" i="52" s="1"/>
  <c r="I1379" i="52"/>
  <c r="J1374" i="52" s="1"/>
  <c r="I1388" i="52"/>
  <c r="J1381" i="52" s="1"/>
  <c r="I1306" i="52"/>
  <c r="J1300" i="52" s="1"/>
  <c r="I1327" i="52"/>
  <c r="J1322" i="52" s="1"/>
  <c r="I1334" i="52"/>
  <c r="J1329" i="52" s="1"/>
  <c r="I1298" i="52"/>
  <c r="J1292" i="52" s="1"/>
  <c r="I1372" i="52"/>
  <c r="J1367" i="52" s="1"/>
  <c r="I1396" i="52"/>
  <c r="J1390" i="52" s="1"/>
  <c r="I1452" i="52"/>
  <c r="J1448" i="52" s="1"/>
  <c r="I1440" i="52"/>
  <c r="J1435" i="52" s="1"/>
  <c r="I1505" i="52"/>
  <c r="J1500" i="52" s="1"/>
  <c r="I1426" i="52"/>
  <c r="J1422" i="52" s="1"/>
  <c r="I1491" i="52"/>
  <c r="J1478" i="52" s="1"/>
  <c r="I1094" i="52"/>
  <c r="J1088" i="52" s="1"/>
  <c r="I1126" i="52"/>
  <c r="J1120" i="52" s="1"/>
  <c r="I1134" i="52"/>
  <c r="J1128" i="52" s="1"/>
  <c r="I1150" i="52"/>
  <c r="J1144" i="52" s="1"/>
  <c r="I1164" i="52"/>
  <c r="J1159" i="52" s="1"/>
  <c r="I1176" i="52"/>
  <c r="J1172" i="52" s="1"/>
  <c r="I1189" i="52"/>
  <c r="J1185" i="52" s="1"/>
  <c r="I1205" i="52"/>
  <c r="J1199" i="52" s="1"/>
  <c r="I1218" i="52"/>
  <c r="J1214" i="52" s="1"/>
  <c r="I1102" i="52"/>
  <c r="J1096" i="52" s="1"/>
  <c r="I1070" i="52"/>
  <c r="J1064" i="52" s="1"/>
  <c r="I1086" i="52"/>
  <c r="J1080" i="52" s="1"/>
  <c r="I1110" i="52"/>
  <c r="J1104" i="52" s="1"/>
  <c r="I1118" i="52"/>
  <c r="J1112" i="52" s="1"/>
  <c r="I859" i="52"/>
  <c r="J853" i="52" s="1"/>
  <c r="I864" i="52"/>
  <c r="J861" i="52" s="1"/>
  <c r="I827" i="52"/>
  <c r="J822" i="52" s="1"/>
  <c r="I836" i="52"/>
  <c r="J829" i="52" s="1"/>
  <c r="I845" i="52"/>
  <c r="J838" i="52" s="1"/>
  <c r="I900" i="52"/>
  <c r="J892" i="52" s="1"/>
  <c r="I923" i="52"/>
  <c r="J920" i="52" s="1"/>
  <c r="I929" i="52"/>
  <c r="J925" i="52" s="1"/>
  <c r="I956" i="52"/>
  <c r="J951" i="52" s="1"/>
  <c r="I999" i="52"/>
  <c r="J993" i="52" s="1"/>
  <c r="I890" i="52"/>
  <c r="J884" i="52" s="1"/>
  <c r="I934" i="52"/>
  <c r="J931" i="52" s="1"/>
  <c r="I963" i="52"/>
  <c r="J958" i="52" s="1"/>
  <c r="I1023" i="52"/>
  <c r="J1008" i="52" s="1"/>
  <c r="I1054" i="52"/>
  <c r="J1046" i="52" s="1"/>
  <c r="I942" i="52"/>
  <c r="J936" i="52" s="1"/>
  <c r="I970" i="52"/>
  <c r="J965" i="52" s="1"/>
  <c r="I820" i="52"/>
  <c r="J815" i="52" s="1"/>
  <c r="I546" i="52"/>
  <c r="J539" i="52" s="1"/>
  <c r="I528" i="52"/>
  <c r="J521" i="52" s="1"/>
  <c r="I500" i="52"/>
  <c r="J491" i="52" s="1"/>
  <c r="I510" i="52"/>
  <c r="J502" i="52" s="1"/>
  <c r="I489" i="52"/>
  <c r="J485" i="52" s="1"/>
  <c r="I472" i="52"/>
  <c r="J465" i="52" s="1"/>
  <c r="I454" i="52"/>
  <c r="J447" i="52" s="1"/>
  <c r="I402" i="52"/>
  <c r="J399" i="52" s="1"/>
  <c r="I416" i="52"/>
  <c r="J404" i="52" s="1"/>
  <c r="I391" i="52"/>
  <c r="J380" i="52" s="1"/>
  <c r="I397" i="52"/>
  <c r="J393" i="52" s="1"/>
  <c r="I378" i="52"/>
  <c r="J372" i="52" s="1"/>
  <c r="I360" i="52"/>
  <c r="J350" i="52" s="1"/>
  <c r="I46" i="52"/>
  <c r="J42" i="52" s="1"/>
  <c r="B34" i="52"/>
  <c r="I34" i="52"/>
  <c r="I40" i="52"/>
  <c r="J34" i="52" s="1"/>
  <c r="A26" i="52"/>
  <c r="I26" i="52" s="1"/>
  <c r="H31" i="52"/>
  <c r="I31" i="52" s="1"/>
  <c r="H30" i="52"/>
  <c r="I30" i="52" s="1"/>
  <c r="H29" i="52"/>
  <c r="I29" i="52" s="1"/>
  <c r="H28" i="52"/>
  <c r="I28" i="52" s="1"/>
  <c r="H23" i="52"/>
  <c r="I23" i="52" s="1"/>
  <c r="H22" i="52"/>
  <c r="I22" i="52" s="1"/>
  <c r="H21" i="52"/>
  <c r="I21" i="52" s="1"/>
  <c r="A15" i="52"/>
  <c r="B15" i="52" s="1"/>
  <c r="H17" i="52"/>
  <c r="I17" i="52" s="1"/>
  <c r="H18" i="52"/>
  <c r="I18" i="52" s="1"/>
  <c r="H19" i="52"/>
  <c r="I19" i="52" s="1"/>
  <c r="H20" i="52"/>
  <c r="I20" i="52" s="1"/>
  <c r="A8" i="52"/>
  <c r="H12" i="52"/>
  <c r="I12" i="52" s="1"/>
  <c r="H11" i="52"/>
  <c r="I11" i="52" s="1"/>
  <c r="H10" i="52"/>
  <c r="I10" i="52" s="1"/>
  <c r="F32" i="36" l="1"/>
  <c r="F31" i="36"/>
  <c r="F79" i="36"/>
  <c r="F175" i="36"/>
  <c r="F218" i="36"/>
  <c r="F261" i="36"/>
  <c r="F303" i="36"/>
  <c r="F351" i="36"/>
  <c r="F375" i="36"/>
  <c r="F395" i="36"/>
  <c r="F59" i="36"/>
  <c r="F102" i="36"/>
  <c r="F155" i="36"/>
  <c r="F203" i="36"/>
  <c r="F251" i="36"/>
  <c r="F294" i="36"/>
  <c r="F342" i="36"/>
  <c r="F384" i="36"/>
  <c r="F332" i="36"/>
  <c r="F296" i="36"/>
  <c r="F264" i="36"/>
  <c r="F232" i="36"/>
  <c r="F196" i="36"/>
  <c r="F152" i="36"/>
  <c r="F116" i="36"/>
  <c r="F44" i="36"/>
  <c r="F53" i="36"/>
  <c r="F106" i="36"/>
  <c r="F154" i="36"/>
  <c r="F197" i="36"/>
  <c r="F239" i="36"/>
  <c r="F282" i="36"/>
  <c r="F330" i="36"/>
  <c r="F81" i="36"/>
  <c r="F129" i="36"/>
  <c r="F182" i="36"/>
  <c r="F230" i="36"/>
  <c r="F273" i="36"/>
  <c r="F315" i="36"/>
  <c r="F360" i="36"/>
  <c r="F400" i="36"/>
  <c r="F428" i="36"/>
  <c r="F316" i="36"/>
  <c r="F280" i="36"/>
  <c r="F248" i="36"/>
  <c r="F212" i="36"/>
  <c r="F180" i="36"/>
  <c r="F132" i="36"/>
  <c r="F96" i="36"/>
  <c r="F76" i="36"/>
  <c r="F60" i="36"/>
  <c r="F37" i="36"/>
  <c r="F58" i="36"/>
  <c r="F85" i="36"/>
  <c r="F111" i="36"/>
  <c r="F133" i="36"/>
  <c r="F159" i="36"/>
  <c r="F181" i="36"/>
  <c r="F202" i="36"/>
  <c r="F223" i="36"/>
  <c r="F245" i="36"/>
  <c r="F266" i="36"/>
  <c r="F287" i="36"/>
  <c r="F314" i="36"/>
  <c r="F335" i="36"/>
  <c r="F355" i="36"/>
  <c r="F379" i="36"/>
  <c r="F403" i="36"/>
  <c r="F33" i="36"/>
  <c r="F65" i="36"/>
  <c r="F86" i="36"/>
  <c r="F107" i="36"/>
  <c r="F134" i="36"/>
  <c r="F161" i="36"/>
  <c r="F187" i="36"/>
  <c r="F209" i="36"/>
  <c r="F235" i="36"/>
  <c r="F257" i="36"/>
  <c r="F278" i="36"/>
  <c r="F299" i="36"/>
  <c r="F321" i="36"/>
  <c r="F347" i="36"/>
  <c r="F368" i="36"/>
  <c r="F388" i="36"/>
  <c r="F412" i="36"/>
  <c r="F348" i="36"/>
  <c r="F328" i="36"/>
  <c r="F312" i="36"/>
  <c r="F292" i="36"/>
  <c r="F276" i="36"/>
  <c r="F260" i="36"/>
  <c r="F244" i="36"/>
  <c r="F228" i="36"/>
  <c r="F208" i="36"/>
  <c r="F192" i="36"/>
  <c r="F176" i="36"/>
  <c r="F148" i="36"/>
  <c r="F128" i="36"/>
  <c r="F112" i="36"/>
  <c r="F92" i="36"/>
  <c r="F72" i="36"/>
  <c r="F56" i="36"/>
  <c r="F36" i="36"/>
  <c r="F24" i="36"/>
  <c r="F42" i="36"/>
  <c r="F90" i="36"/>
  <c r="F117" i="36"/>
  <c r="F165" i="36"/>
  <c r="F186" i="36"/>
  <c r="F207" i="36"/>
  <c r="F229" i="36"/>
  <c r="F271" i="36"/>
  <c r="F293" i="36"/>
  <c r="F319" i="36"/>
  <c r="F341" i="36"/>
  <c r="F359" i="36"/>
  <c r="F383" i="36"/>
  <c r="F411" i="36"/>
  <c r="F38" i="36"/>
  <c r="F70" i="36"/>
  <c r="F91" i="36"/>
  <c r="F118" i="36"/>
  <c r="F139" i="36"/>
  <c r="F171" i="36"/>
  <c r="F193" i="36"/>
  <c r="F214" i="36"/>
  <c r="F241" i="36"/>
  <c r="F262" i="36"/>
  <c r="F283" i="36"/>
  <c r="F305" i="36"/>
  <c r="F326" i="36"/>
  <c r="F352" i="36"/>
  <c r="F376" i="36"/>
  <c r="F392" i="36"/>
  <c r="F416" i="36"/>
  <c r="F344" i="36"/>
  <c r="F324" i="36"/>
  <c r="F304" i="36"/>
  <c r="F288" i="36"/>
  <c r="F272" i="36"/>
  <c r="F256" i="36"/>
  <c r="F240" i="36"/>
  <c r="F224" i="36"/>
  <c r="F204" i="36"/>
  <c r="F188" i="36"/>
  <c r="F172" i="36"/>
  <c r="F140" i="36"/>
  <c r="F124" i="36"/>
  <c r="F108" i="36"/>
  <c r="F84" i="36"/>
  <c r="F68" i="36"/>
  <c r="F52" i="36"/>
  <c r="I8" i="52"/>
  <c r="F50" i="36"/>
  <c r="F61" i="36"/>
  <c r="F71" i="36"/>
  <c r="F83" i="36"/>
  <c r="F98" i="36"/>
  <c r="F110" i="36"/>
  <c r="F130" i="36"/>
  <c r="F146" i="36"/>
  <c r="F162" i="36"/>
  <c r="F178" i="36"/>
  <c r="F189" i="36"/>
  <c r="F199" i="36"/>
  <c r="F210" i="36"/>
  <c r="F221" i="36"/>
  <c r="F231" i="36"/>
  <c r="F242" i="36"/>
  <c r="F254" i="36"/>
  <c r="F270" i="36"/>
  <c r="F281" i="36"/>
  <c r="F297" i="36"/>
  <c r="F311" i="36"/>
  <c r="F322" i="36"/>
  <c r="F333" i="36"/>
  <c r="F345" i="36"/>
  <c r="F358" i="36"/>
  <c r="F366" i="36"/>
  <c r="F377" i="36"/>
  <c r="F386" i="36"/>
  <c r="F397" i="36"/>
  <c r="F405" i="36"/>
  <c r="F413" i="36"/>
  <c r="F30" i="36"/>
  <c r="F51" i="36"/>
  <c r="F62" i="36"/>
  <c r="F73" i="36"/>
  <c r="F87" i="36"/>
  <c r="F99" i="36"/>
  <c r="F115" i="36"/>
  <c r="F135" i="36"/>
  <c r="F147" i="36"/>
  <c r="F169" i="36"/>
  <c r="F179" i="36"/>
  <c r="F190" i="36"/>
  <c r="F201" i="36"/>
  <c r="F211" i="36"/>
  <c r="F222" i="36"/>
  <c r="F233" i="36"/>
  <c r="F243" i="36"/>
  <c r="F82" i="36"/>
  <c r="F174" i="36"/>
  <c r="F217" i="36"/>
  <c r="F279" i="36"/>
  <c r="F317" i="36"/>
  <c r="F353" i="36"/>
  <c r="F374" i="36"/>
  <c r="F401" i="36"/>
  <c r="F419" i="36"/>
  <c r="F45" i="36"/>
  <c r="F66" i="36"/>
  <c r="F89" i="36"/>
  <c r="F119" i="36"/>
  <c r="F151" i="36"/>
  <c r="F183" i="36"/>
  <c r="F205" i="36"/>
  <c r="F226" i="36"/>
  <c r="F247" i="36"/>
  <c r="F269" i="36"/>
  <c r="F285" i="36"/>
  <c r="F302" i="36"/>
  <c r="F318" i="36"/>
  <c r="F334" i="36"/>
  <c r="F354" i="36"/>
  <c r="F365" i="36"/>
  <c r="F378" i="36"/>
  <c r="F390" i="36"/>
  <c r="F402" i="36"/>
  <c r="F414" i="36"/>
  <c r="F421" i="36"/>
  <c r="F427" i="36"/>
  <c r="F46" i="36"/>
  <c r="F67" i="36"/>
  <c r="F93" i="36"/>
  <c r="F153" i="36"/>
  <c r="F185" i="36"/>
  <c r="F206" i="36"/>
  <c r="F227" i="36"/>
  <c r="F253" i="36"/>
  <c r="F274" i="36"/>
  <c r="F286" i="36"/>
  <c r="F323" i="36"/>
  <c r="F339" i="36"/>
  <c r="F369" i="36"/>
  <c r="F394" i="36"/>
  <c r="F417" i="36"/>
  <c r="F426" i="36"/>
  <c r="F121" i="36"/>
  <c r="F306" i="36"/>
  <c r="F357" i="36"/>
  <c r="F381" i="36"/>
  <c r="F406" i="36"/>
  <c r="F422" i="36"/>
  <c r="F55" i="36"/>
  <c r="F78" i="36"/>
  <c r="F103" i="36"/>
  <c r="F137" i="36"/>
  <c r="F173" i="36"/>
  <c r="F194" i="36"/>
  <c r="F215" i="36"/>
  <c r="F237" i="36"/>
  <c r="F263" i="36"/>
  <c r="F275" i="36"/>
  <c r="F295" i="36"/>
  <c r="F313" i="36"/>
  <c r="F327" i="36"/>
  <c r="F343" i="36"/>
  <c r="F361" i="36"/>
  <c r="F370" i="36"/>
  <c r="F385" i="36"/>
  <c r="F398" i="36"/>
  <c r="F409" i="36"/>
  <c r="F418" i="36"/>
  <c r="F423" i="36"/>
  <c r="F57" i="36"/>
  <c r="F109" i="36"/>
  <c r="F141" i="36"/>
  <c r="F195" i="36"/>
  <c r="F238" i="36"/>
  <c r="F265" i="36"/>
  <c r="F301" i="36"/>
  <c r="F329" i="36"/>
  <c r="F362" i="36"/>
  <c r="F389" i="36"/>
  <c r="F410" i="36"/>
  <c r="F47" i="36"/>
  <c r="F74" i="36"/>
  <c r="F101" i="36"/>
  <c r="F122" i="36"/>
  <c r="F149" i="36"/>
  <c r="F170" i="36"/>
  <c r="F191" i="36"/>
  <c r="F213" i="36"/>
  <c r="F234" i="36"/>
  <c r="F255" i="36"/>
  <c r="F277" i="36"/>
  <c r="F298" i="36"/>
  <c r="F325" i="36"/>
  <c r="F346" i="36"/>
  <c r="F367" i="36"/>
  <c r="F391" i="36"/>
  <c r="F415" i="36"/>
  <c r="F43" i="36"/>
  <c r="F75" i="36"/>
  <c r="F97" i="36"/>
  <c r="F123" i="36"/>
  <c r="F145" i="36"/>
  <c r="F177" i="36"/>
  <c r="F198" i="36"/>
  <c r="F225" i="36"/>
  <c r="F246" i="36"/>
  <c r="F267" i="36"/>
  <c r="F289" i="36"/>
  <c r="F310" i="36"/>
  <c r="F331" i="36"/>
  <c r="F356" i="36"/>
  <c r="F380" i="36"/>
  <c r="F396" i="36"/>
  <c r="F420" i="36"/>
  <c r="F340" i="36"/>
  <c r="F320" i="36"/>
  <c r="F300" i="36"/>
  <c r="F284" i="36"/>
  <c r="F268" i="36"/>
  <c r="F252" i="36"/>
  <c r="F236" i="36"/>
  <c r="F216" i="36"/>
  <c r="F200" i="36"/>
  <c r="F184" i="36"/>
  <c r="F160" i="36"/>
  <c r="F136" i="36"/>
  <c r="F120" i="36"/>
  <c r="F100" i="36"/>
  <c r="F80" i="36"/>
  <c r="F64" i="36"/>
  <c r="F48" i="36"/>
  <c r="F22" i="36"/>
  <c r="F23" i="36"/>
  <c r="F25" i="36"/>
  <c r="F26" i="36"/>
  <c r="F27" i="36"/>
  <c r="F28" i="36"/>
  <c r="F29" i="36"/>
  <c r="B26" i="52"/>
  <c r="I32" i="52"/>
  <c r="J26" i="52" s="1"/>
  <c r="F21" i="36" s="1"/>
  <c r="B8" i="52"/>
  <c r="I24" i="52"/>
  <c r="J15" i="52" s="1"/>
  <c r="F20" i="36" s="1"/>
  <c r="I15" i="52"/>
  <c r="I13" i="52"/>
  <c r="J8" i="52" s="1"/>
  <c r="F17" i="36" s="1"/>
  <c r="I427" i="36" l="1"/>
  <c r="Q427" i="36"/>
  <c r="I334" i="36"/>
  <c r="S334" i="36" s="1"/>
  <c r="Q334" i="36"/>
  <c r="I183" i="36"/>
  <c r="Q183" i="36"/>
  <c r="I374" i="36"/>
  <c r="Q374" i="36"/>
  <c r="I233" i="36"/>
  <c r="Q233" i="36"/>
  <c r="I135" i="36"/>
  <c r="Q135" i="36"/>
  <c r="I413" i="36"/>
  <c r="Q413" i="36"/>
  <c r="I333" i="36"/>
  <c r="Q333" i="36"/>
  <c r="I231" i="36"/>
  <c r="S231" i="36" s="1"/>
  <c r="Q231" i="36"/>
  <c r="I130" i="36"/>
  <c r="S130" i="36" s="1"/>
  <c r="Q130" i="36"/>
  <c r="I52" i="36"/>
  <c r="S52" i="36" s="1"/>
  <c r="Q52" i="36"/>
  <c r="I204" i="36"/>
  <c r="S204" i="36" s="1"/>
  <c r="Q204" i="36"/>
  <c r="I344" i="36"/>
  <c r="Q344" i="36"/>
  <c r="I262" i="36"/>
  <c r="S262" i="36" s="1"/>
  <c r="Q262" i="36"/>
  <c r="I70" i="36"/>
  <c r="Q70" i="36"/>
  <c r="I271" i="36"/>
  <c r="Q271" i="36"/>
  <c r="I24" i="36"/>
  <c r="Q24" i="36"/>
  <c r="I176" i="36"/>
  <c r="S176" i="36" s="1"/>
  <c r="Q176" i="36"/>
  <c r="I312" i="36"/>
  <c r="Q312" i="36"/>
  <c r="I299" i="36"/>
  <c r="Q299" i="36"/>
  <c r="I107" i="36"/>
  <c r="Q107" i="36"/>
  <c r="I314" i="36"/>
  <c r="Q314" i="36"/>
  <c r="I133" i="36"/>
  <c r="Q133" i="36"/>
  <c r="I132" i="36"/>
  <c r="Q132" i="36"/>
  <c r="I360" i="36"/>
  <c r="Q360" i="36"/>
  <c r="I282" i="36"/>
  <c r="S282" i="36" s="1"/>
  <c r="Q282" i="36"/>
  <c r="I152" i="36"/>
  <c r="Q152" i="36"/>
  <c r="I294" i="36"/>
  <c r="Q294" i="36"/>
  <c r="I351" i="36"/>
  <c r="Q351" i="36"/>
  <c r="I29" i="36"/>
  <c r="Q29" i="36"/>
  <c r="I64" i="36"/>
  <c r="S64" i="36" s="1"/>
  <c r="Q64" i="36"/>
  <c r="I420" i="36"/>
  <c r="N2627" i="52" s="1"/>
  <c r="Q420" i="36"/>
  <c r="I43" i="36"/>
  <c r="Q43" i="36"/>
  <c r="I74" i="36"/>
  <c r="Q74" i="36"/>
  <c r="I398" i="36"/>
  <c r="Q398" i="36"/>
  <c r="I78" i="36"/>
  <c r="Q78" i="36"/>
  <c r="I236" i="36"/>
  <c r="S236" i="36" s="1"/>
  <c r="Q236" i="36"/>
  <c r="I234" i="36"/>
  <c r="S234" i="36" s="1"/>
  <c r="Q234" i="36"/>
  <c r="I421" i="36"/>
  <c r="Q421" i="36"/>
  <c r="I318" i="36"/>
  <c r="S318" i="36" s="1"/>
  <c r="Q318" i="36"/>
  <c r="I151" i="36"/>
  <c r="Q151" i="36"/>
  <c r="I353" i="36"/>
  <c r="Q353" i="36"/>
  <c r="I222" i="36"/>
  <c r="Q222" i="36"/>
  <c r="I115" i="36"/>
  <c r="Q115" i="36"/>
  <c r="I405" i="36"/>
  <c r="Q405" i="36"/>
  <c r="I322" i="36"/>
  <c r="Q322" i="36"/>
  <c r="I221" i="36"/>
  <c r="S221" i="36" s="1"/>
  <c r="Q221" i="36"/>
  <c r="I110" i="36"/>
  <c r="Q110" i="36"/>
  <c r="I68" i="36"/>
  <c r="Q68" i="36"/>
  <c r="I224" i="36"/>
  <c r="S224" i="36" s="1"/>
  <c r="Q224" i="36"/>
  <c r="I416" i="36"/>
  <c r="S416" i="36" s="1"/>
  <c r="Q416" i="36"/>
  <c r="I241" i="36"/>
  <c r="S241" i="36" s="1"/>
  <c r="Q241" i="36"/>
  <c r="I38" i="36"/>
  <c r="Q38" i="36"/>
  <c r="I229" i="36"/>
  <c r="Q229" i="36"/>
  <c r="I36" i="36"/>
  <c r="Q36" i="36"/>
  <c r="I192" i="36"/>
  <c r="Q192" i="36"/>
  <c r="I328" i="36"/>
  <c r="S328" i="36" s="1"/>
  <c r="Q328" i="36"/>
  <c r="I278" i="36"/>
  <c r="S278" i="36" s="1"/>
  <c r="Q278" i="36"/>
  <c r="I86" i="36"/>
  <c r="Q86" i="36"/>
  <c r="I287" i="36"/>
  <c r="S287" i="36" s="1"/>
  <c r="Q287" i="36"/>
  <c r="I111" i="36"/>
  <c r="Q111" i="36"/>
  <c r="I180" i="36"/>
  <c r="S180" i="36" s="1"/>
  <c r="Q180" i="36"/>
  <c r="I315" i="36"/>
  <c r="Q315" i="36"/>
  <c r="I239" i="36"/>
  <c r="Q239" i="36"/>
  <c r="I196" i="36"/>
  <c r="Q196" i="36"/>
  <c r="I251" i="36"/>
  <c r="S251" i="36" s="1"/>
  <c r="Q251" i="36"/>
  <c r="I303" i="36"/>
  <c r="Q303" i="36"/>
  <c r="I422" i="36"/>
  <c r="Q422" i="36"/>
  <c r="I394" i="36"/>
  <c r="Q394" i="36"/>
  <c r="I206" i="36"/>
  <c r="S206" i="36" s="1"/>
  <c r="Q206" i="36"/>
  <c r="I414" i="36"/>
  <c r="Q414" i="36"/>
  <c r="I302" i="36"/>
  <c r="S302" i="36" s="1"/>
  <c r="Q302" i="36"/>
  <c r="I119" i="36"/>
  <c r="Q119" i="36"/>
  <c r="I317" i="36"/>
  <c r="Q317" i="36"/>
  <c r="I211" i="36"/>
  <c r="Q211" i="36"/>
  <c r="I99" i="36"/>
  <c r="Q99" i="36"/>
  <c r="I397" i="36"/>
  <c r="Q397" i="36"/>
  <c r="I311" i="36"/>
  <c r="S311" i="36" s="1"/>
  <c r="Q311" i="36"/>
  <c r="I210" i="36"/>
  <c r="Q210" i="36"/>
  <c r="I98" i="36"/>
  <c r="Q98" i="36"/>
  <c r="I84" i="36"/>
  <c r="Q84" i="36"/>
  <c r="I240" i="36"/>
  <c r="S240" i="36" s="1"/>
  <c r="Q240" i="36"/>
  <c r="I392" i="36"/>
  <c r="Q392" i="36"/>
  <c r="I214" i="36"/>
  <c r="S214" i="36" s="1"/>
  <c r="Q214" i="36"/>
  <c r="I411" i="36"/>
  <c r="S411" i="36" s="1"/>
  <c r="Q411" i="36"/>
  <c r="I207" i="36"/>
  <c r="S207" i="36" s="1"/>
  <c r="Q207" i="36"/>
  <c r="I56" i="36"/>
  <c r="Q56" i="36"/>
  <c r="I208" i="36"/>
  <c r="S208" i="36" s="1"/>
  <c r="Q208" i="36"/>
  <c r="I348" i="36"/>
  <c r="Q348" i="36"/>
  <c r="I257" i="36"/>
  <c r="S257" i="36" s="1"/>
  <c r="Q257" i="36"/>
  <c r="I65" i="36"/>
  <c r="Q65" i="36"/>
  <c r="I266" i="36"/>
  <c r="Q266" i="36"/>
  <c r="I85" i="36"/>
  <c r="Q85" i="36"/>
  <c r="I212" i="36"/>
  <c r="Q212" i="36"/>
  <c r="I273" i="36"/>
  <c r="Q273" i="36"/>
  <c r="I197" i="36"/>
  <c r="Q197" i="36"/>
  <c r="I232" i="36"/>
  <c r="S232" i="36" s="1"/>
  <c r="Q232" i="36"/>
  <c r="I203" i="36"/>
  <c r="S203" i="36" s="1"/>
  <c r="Q203" i="36"/>
  <c r="I261" i="36"/>
  <c r="S261" i="36" s="1"/>
  <c r="Q261" i="36"/>
  <c r="I193" i="36"/>
  <c r="Q193" i="36"/>
  <c r="I383" i="36"/>
  <c r="Q383" i="36"/>
  <c r="I186" i="36"/>
  <c r="Q186" i="36"/>
  <c r="I72" i="36"/>
  <c r="Q72" i="36"/>
  <c r="I228" i="36"/>
  <c r="Q228" i="36"/>
  <c r="I412" i="36"/>
  <c r="Q412" i="36"/>
  <c r="I235" i="36"/>
  <c r="S235" i="36" s="1"/>
  <c r="Q235" i="36"/>
  <c r="I33" i="36"/>
  <c r="Q33" i="36"/>
  <c r="I245" i="36"/>
  <c r="Q245" i="36"/>
  <c r="I58" i="36"/>
  <c r="Q58" i="36"/>
  <c r="I248" i="36"/>
  <c r="S248" i="36" s="1"/>
  <c r="Q248" i="36"/>
  <c r="I230" i="36"/>
  <c r="S230" i="36" s="1"/>
  <c r="Q230" i="36"/>
  <c r="I154" i="36"/>
  <c r="S154" i="36" s="1"/>
  <c r="Q154" i="36"/>
  <c r="I264" i="36"/>
  <c r="S264" i="36" s="1"/>
  <c r="Q264" i="36"/>
  <c r="I155" i="36"/>
  <c r="Q155" i="36"/>
  <c r="I218" i="36"/>
  <c r="Q218" i="36"/>
  <c r="I426" i="36"/>
  <c r="Q426" i="36"/>
  <c r="I80" i="36"/>
  <c r="Q80" i="36"/>
  <c r="I225" i="36"/>
  <c r="S225" i="36" s="1"/>
  <c r="Q225" i="36"/>
  <c r="I47" i="36"/>
  <c r="Q47" i="36"/>
  <c r="I385" i="36"/>
  <c r="Q385" i="36"/>
  <c r="I55" i="36"/>
  <c r="Q55" i="36"/>
  <c r="I227" i="36"/>
  <c r="S227" i="36" s="1"/>
  <c r="Q227" i="36"/>
  <c r="I27" i="36"/>
  <c r="Q27" i="36"/>
  <c r="I252" i="36"/>
  <c r="Q252" i="36"/>
  <c r="I198" i="36"/>
  <c r="S198" i="36" s="1"/>
  <c r="Q198" i="36"/>
  <c r="I410" i="36"/>
  <c r="S410" i="36" s="1"/>
  <c r="Q410" i="36"/>
  <c r="I370" i="36"/>
  <c r="S370" i="36" s="1"/>
  <c r="Q370" i="36"/>
  <c r="I120" i="36"/>
  <c r="S120" i="36" s="1"/>
  <c r="Q120" i="36"/>
  <c r="I356" i="36"/>
  <c r="Q356" i="36"/>
  <c r="I177" i="36"/>
  <c r="S177" i="36" s="1"/>
  <c r="Q177" i="36"/>
  <c r="I367" i="36"/>
  <c r="S367" i="36" s="1"/>
  <c r="Q367" i="36"/>
  <c r="I191" i="36"/>
  <c r="Q191" i="36"/>
  <c r="I389" i="36"/>
  <c r="Q389" i="36"/>
  <c r="I109" i="36"/>
  <c r="Q109" i="36"/>
  <c r="I361" i="36"/>
  <c r="S361" i="36" s="1"/>
  <c r="Q361" i="36"/>
  <c r="I215" i="36"/>
  <c r="S215" i="36" s="1"/>
  <c r="Q215" i="36"/>
  <c r="I406" i="36"/>
  <c r="Q406" i="36"/>
  <c r="I369" i="36"/>
  <c r="Q369" i="36"/>
  <c r="I185" i="36"/>
  <c r="S185" i="36" s="1"/>
  <c r="Q185" i="36"/>
  <c r="I402" i="36"/>
  <c r="Q402" i="36"/>
  <c r="I285" i="36"/>
  <c r="Q285" i="36"/>
  <c r="I89" i="36"/>
  <c r="Q89" i="36"/>
  <c r="I279" i="36"/>
  <c r="S279" i="36" s="1"/>
  <c r="Q279" i="36"/>
  <c r="I201" i="36"/>
  <c r="Q201" i="36"/>
  <c r="I87" i="36"/>
  <c r="Q87" i="36"/>
  <c r="I386" i="36"/>
  <c r="Q386" i="36"/>
  <c r="I297" i="36"/>
  <c r="Q297" i="36"/>
  <c r="I199" i="36"/>
  <c r="S199" i="36" s="1"/>
  <c r="Q199" i="36"/>
  <c r="I83" i="36"/>
  <c r="Q83" i="36"/>
  <c r="I108" i="36"/>
  <c r="Q108" i="36"/>
  <c r="I256" i="36"/>
  <c r="Q256" i="36"/>
  <c r="I376" i="36"/>
  <c r="Q376" i="36"/>
  <c r="I20" i="36"/>
  <c r="S20" i="36" s="1"/>
  <c r="Q20" i="36"/>
  <c r="I25" i="36"/>
  <c r="Q25" i="36"/>
  <c r="I136" i="36"/>
  <c r="Q136" i="36"/>
  <c r="I284" i="36"/>
  <c r="Q284" i="36"/>
  <c r="I331" i="36"/>
  <c r="Q331" i="36"/>
  <c r="I145" i="36"/>
  <c r="Q145" i="36"/>
  <c r="I346" i="36"/>
  <c r="Q346" i="36"/>
  <c r="I170" i="36"/>
  <c r="S170" i="36" s="1"/>
  <c r="Q170" i="36"/>
  <c r="I362" i="36"/>
  <c r="Q362" i="36"/>
  <c r="I57" i="36"/>
  <c r="Q57" i="36"/>
  <c r="I343" i="36"/>
  <c r="Q343" i="36"/>
  <c r="I194" i="36"/>
  <c r="Q194" i="36"/>
  <c r="I381" i="36"/>
  <c r="Q381" i="36"/>
  <c r="I339" i="36"/>
  <c r="Q339" i="36"/>
  <c r="I153" i="36"/>
  <c r="Q153" i="36"/>
  <c r="I390" i="36"/>
  <c r="Q390" i="36"/>
  <c r="I269" i="36"/>
  <c r="Q269" i="36"/>
  <c r="I66" i="36"/>
  <c r="Q66" i="36"/>
  <c r="I217" i="36"/>
  <c r="S217" i="36" s="1"/>
  <c r="Q217" i="36"/>
  <c r="I190" i="36"/>
  <c r="Q190" i="36"/>
  <c r="I73" i="36"/>
  <c r="Q73" i="36"/>
  <c r="I377" i="36"/>
  <c r="Q377" i="36"/>
  <c r="I281" i="36"/>
  <c r="S281" i="36" s="1"/>
  <c r="Q281" i="36"/>
  <c r="I189" i="36"/>
  <c r="Q189" i="36"/>
  <c r="I71" i="36"/>
  <c r="Q71" i="36"/>
  <c r="I124" i="36"/>
  <c r="S124" i="36" s="1"/>
  <c r="Q124" i="36"/>
  <c r="I272" i="36"/>
  <c r="Q272" i="36"/>
  <c r="I352" i="36"/>
  <c r="Q352" i="36"/>
  <c r="I171" i="36"/>
  <c r="Q171" i="36"/>
  <c r="I359" i="36"/>
  <c r="Q359" i="36"/>
  <c r="I165" i="36"/>
  <c r="S165" i="36" s="1"/>
  <c r="Q165" i="36"/>
  <c r="I92" i="36"/>
  <c r="Q92" i="36"/>
  <c r="I244" i="36"/>
  <c r="Q244" i="36"/>
  <c r="I388" i="36"/>
  <c r="Q388" i="36"/>
  <c r="I209" i="36"/>
  <c r="Q209" i="36"/>
  <c r="I403" i="36"/>
  <c r="S403" i="36" s="1"/>
  <c r="Q403" i="36"/>
  <c r="I223" i="36"/>
  <c r="S223" i="36" s="1"/>
  <c r="Q223" i="36"/>
  <c r="I37" i="36"/>
  <c r="Q37" i="36"/>
  <c r="I280" i="36"/>
  <c r="Q280" i="36"/>
  <c r="I182" i="36"/>
  <c r="S182" i="36" s="1"/>
  <c r="Q182" i="36"/>
  <c r="I106" i="36"/>
  <c r="S106" i="36" s="1"/>
  <c r="Q106" i="36"/>
  <c r="I296" i="36"/>
  <c r="Q296" i="36"/>
  <c r="I102" i="36"/>
  <c r="Q102" i="36"/>
  <c r="I175" i="36"/>
  <c r="Q175" i="36"/>
  <c r="I139" i="36"/>
  <c r="S139" i="36" s="1"/>
  <c r="Q139" i="36"/>
  <c r="I341" i="36"/>
  <c r="Q341" i="36"/>
  <c r="I117" i="36"/>
  <c r="Q117" i="36"/>
  <c r="I112" i="36"/>
  <c r="S112" i="36" s="1"/>
  <c r="Q112" i="36"/>
  <c r="I260" i="36"/>
  <c r="Q260" i="36"/>
  <c r="I368" i="36"/>
  <c r="S368" i="36" s="1"/>
  <c r="Q368" i="36"/>
  <c r="I187" i="36"/>
  <c r="Q187" i="36"/>
  <c r="I379" i="36"/>
  <c r="Q379" i="36"/>
  <c r="I202" i="36"/>
  <c r="Q202" i="36"/>
  <c r="I60" i="36"/>
  <c r="Q60" i="36"/>
  <c r="I316" i="36"/>
  <c r="Q316" i="36"/>
  <c r="I129" i="36"/>
  <c r="Q129" i="36"/>
  <c r="I53" i="36"/>
  <c r="S53" i="36" s="1"/>
  <c r="Q53" i="36"/>
  <c r="I332" i="36"/>
  <c r="S332" i="36" s="1"/>
  <c r="Q332" i="36"/>
  <c r="I59" i="36"/>
  <c r="Q59" i="36"/>
  <c r="I79" i="36"/>
  <c r="Q79" i="36"/>
  <c r="I216" i="36"/>
  <c r="S216" i="36" s="1"/>
  <c r="Q216" i="36"/>
  <c r="I246" i="36"/>
  <c r="S246" i="36" s="1"/>
  <c r="Q246" i="36"/>
  <c r="I255" i="36"/>
  <c r="Q255" i="36"/>
  <c r="I238" i="36"/>
  <c r="Q238" i="36"/>
  <c r="I275" i="36"/>
  <c r="Q275" i="36"/>
  <c r="I253" i="36"/>
  <c r="Q253" i="36"/>
  <c r="I28" i="36"/>
  <c r="Q28" i="36"/>
  <c r="I396" i="36"/>
  <c r="Q396" i="36"/>
  <c r="I415" i="36"/>
  <c r="Q415" i="36"/>
  <c r="I195" i="36"/>
  <c r="Q195" i="36"/>
  <c r="I263" i="36"/>
  <c r="S263" i="36" s="1"/>
  <c r="Q263" i="36"/>
  <c r="I417" i="36"/>
  <c r="Q417" i="36"/>
  <c r="I17" i="36"/>
  <c r="S17" i="36" s="1"/>
  <c r="Q17" i="36"/>
  <c r="I100" i="36"/>
  <c r="Q100" i="36"/>
  <c r="I380" i="36"/>
  <c r="Q380" i="36"/>
  <c r="I391" i="36"/>
  <c r="Q391" i="36"/>
  <c r="I213" i="36"/>
  <c r="S213" i="36" s="1"/>
  <c r="Q213" i="36"/>
  <c r="I141" i="36"/>
  <c r="S141" i="36" s="1"/>
  <c r="Q141" i="36"/>
  <c r="I237" i="36"/>
  <c r="S237" i="36" s="1"/>
  <c r="Q237" i="36"/>
  <c r="I26" i="36"/>
  <c r="S26" i="36" s="1"/>
  <c r="Q26" i="36"/>
  <c r="I268" i="36"/>
  <c r="S268" i="36" s="1"/>
  <c r="Q268" i="36"/>
  <c r="I23" i="36"/>
  <c r="Q23" i="36"/>
  <c r="I160" i="36"/>
  <c r="S160" i="36" s="1"/>
  <c r="Q160" i="36"/>
  <c r="I300" i="36"/>
  <c r="S300" i="36" s="1"/>
  <c r="Q300" i="36"/>
  <c r="I310" i="36"/>
  <c r="Q310" i="36"/>
  <c r="I123" i="36"/>
  <c r="S123" i="36" s="1"/>
  <c r="Q123" i="36"/>
  <c r="I325" i="36"/>
  <c r="Q325" i="36"/>
  <c r="I149" i="36"/>
  <c r="Q149" i="36"/>
  <c r="I329" i="36"/>
  <c r="S329" i="36" s="1"/>
  <c r="Q329" i="36"/>
  <c r="I423" i="36"/>
  <c r="N2652" i="52" s="1"/>
  <c r="Q423" i="36"/>
  <c r="I327" i="36"/>
  <c r="S327" i="36" s="1"/>
  <c r="Q327" i="36"/>
  <c r="I173" i="36"/>
  <c r="Q173" i="36"/>
  <c r="I357" i="36"/>
  <c r="Q357" i="36"/>
  <c r="I323" i="36"/>
  <c r="Q323" i="36"/>
  <c r="I93" i="36"/>
  <c r="Q93" i="36"/>
  <c r="I378" i="36"/>
  <c r="Q378" i="36"/>
  <c r="I247" i="36"/>
  <c r="S247" i="36" s="1"/>
  <c r="Q247" i="36"/>
  <c r="I45" i="36"/>
  <c r="Q45" i="36"/>
  <c r="I174" i="36"/>
  <c r="Q174" i="36"/>
  <c r="I179" i="36"/>
  <c r="S179" i="36" s="1"/>
  <c r="Q179" i="36"/>
  <c r="I62" i="36"/>
  <c r="Q62" i="36"/>
  <c r="I366" i="36"/>
  <c r="Q366" i="36"/>
  <c r="I270" i="36"/>
  <c r="Q270" i="36"/>
  <c r="I178" i="36"/>
  <c r="S178" i="36" s="1"/>
  <c r="Q178" i="36"/>
  <c r="I61" i="36"/>
  <c r="Q61" i="36"/>
  <c r="I140" i="36"/>
  <c r="S140" i="36" s="1"/>
  <c r="Q140" i="36"/>
  <c r="I288" i="36"/>
  <c r="Q288" i="36"/>
  <c r="I326" i="36"/>
  <c r="Q326" i="36"/>
  <c r="I21" i="36"/>
  <c r="Q21" i="36"/>
  <c r="I22" i="36"/>
  <c r="Q22" i="36"/>
  <c r="I184" i="36"/>
  <c r="Q184" i="36"/>
  <c r="I320" i="36"/>
  <c r="Q320" i="36"/>
  <c r="I289" i="36"/>
  <c r="Q289" i="36"/>
  <c r="I97" i="36"/>
  <c r="Q97" i="36"/>
  <c r="I298" i="36"/>
  <c r="Q298" i="36"/>
  <c r="I122" i="36"/>
  <c r="Q122" i="36"/>
  <c r="I301" i="36"/>
  <c r="S301" i="36" s="1"/>
  <c r="Q301" i="36"/>
  <c r="I313" i="36"/>
  <c r="Q313" i="36"/>
  <c r="I306" i="36"/>
  <c r="S306" i="36" s="1"/>
  <c r="Q306" i="36"/>
  <c r="I67" i="36"/>
  <c r="Q67" i="36"/>
  <c r="I419" i="36"/>
  <c r="Q419" i="36"/>
  <c r="I118" i="36"/>
  <c r="Q118" i="36"/>
  <c r="I319" i="36"/>
  <c r="S319" i="36" s="1"/>
  <c r="Q319" i="36"/>
  <c r="I90" i="36"/>
  <c r="Q90" i="36"/>
  <c r="I128" i="36"/>
  <c r="S128" i="36" s="1"/>
  <c r="Q128" i="36"/>
  <c r="I276" i="36"/>
  <c r="Q276" i="36"/>
  <c r="I347" i="36"/>
  <c r="Q347" i="36"/>
  <c r="I161" i="36"/>
  <c r="S161" i="36" s="1"/>
  <c r="Q161" i="36"/>
  <c r="I355" i="36"/>
  <c r="Q355" i="36"/>
  <c r="I181" i="36"/>
  <c r="Q181" i="36"/>
  <c r="I76" i="36"/>
  <c r="Q76" i="36"/>
  <c r="I428" i="36"/>
  <c r="Q428" i="36"/>
  <c r="I81" i="36"/>
  <c r="Q81" i="36"/>
  <c r="I44" i="36"/>
  <c r="Q44" i="36"/>
  <c r="I384" i="36"/>
  <c r="Q384" i="36"/>
  <c r="I395" i="36"/>
  <c r="Q395" i="36"/>
  <c r="I31" i="36"/>
  <c r="Q31" i="36"/>
  <c r="I418" i="36"/>
  <c r="Q418" i="36"/>
  <c r="I137" i="36"/>
  <c r="Q137" i="36"/>
  <c r="I286" i="36"/>
  <c r="S286" i="36" s="1"/>
  <c r="Q286" i="36"/>
  <c r="I365" i="36"/>
  <c r="S365" i="36" s="1"/>
  <c r="Q365" i="36"/>
  <c r="I226" i="36"/>
  <c r="S226" i="36" s="1"/>
  <c r="Q226" i="36"/>
  <c r="I82" i="36"/>
  <c r="Q82" i="36"/>
  <c r="I169" i="36"/>
  <c r="Q169" i="36"/>
  <c r="I51" i="36"/>
  <c r="Q51" i="36"/>
  <c r="I358" i="36"/>
  <c r="Q358" i="36"/>
  <c r="I254" i="36"/>
  <c r="Q254" i="36"/>
  <c r="I162" i="36"/>
  <c r="Q162" i="36"/>
  <c r="I50" i="36"/>
  <c r="S50" i="36" s="1"/>
  <c r="Q50" i="36"/>
  <c r="I172" i="36"/>
  <c r="Q172" i="36"/>
  <c r="I304" i="36"/>
  <c r="S304" i="36" s="1"/>
  <c r="Q304" i="36"/>
  <c r="I305" i="36"/>
  <c r="S305" i="36" s="1"/>
  <c r="Q305" i="36"/>
  <c r="I48" i="36"/>
  <c r="Q48" i="36"/>
  <c r="I200" i="36"/>
  <c r="Q200" i="36"/>
  <c r="I340" i="36"/>
  <c r="Q340" i="36"/>
  <c r="I267" i="36"/>
  <c r="Q267" i="36"/>
  <c r="I75" i="36"/>
  <c r="Q75" i="36"/>
  <c r="I277" i="36"/>
  <c r="Q277" i="36"/>
  <c r="I101" i="36"/>
  <c r="Q101" i="36"/>
  <c r="I265" i="36"/>
  <c r="Q265" i="36"/>
  <c r="I409" i="36"/>
  <c r="S409" i="36" s="1"/>
  <c r="Q409" i="36"/>
  <c r="I295" i="36"/>
  <c r="Q295" i="36"/>
  <c r="I103" i="36"/>
  <c r="Q103" i="36"/>
  <c r="I121" i="36"/>
  <c r="Q121" i="36"/>
  <c r="I274" i="36"/>
  <c r="Q274" i="36"/>
  <c r="I46" i="36"/>
  <c r="Q46" i="36"/>
  <c r="I354" i="36"/>
  <c r="Q354" i="36"/>
  <c r="I205" i="36"/>
  <c r="S205" i="36" s="1"/>
  <c r="Q205" i="36"/>
  <c r="I401" i="36"/>
  <c r="Q401" i="36"/>
  <c r="I243" i="36"/>
  <c r="Q243" i="36"/>
  <c r="I147" i="36"/>
  <c r="Q147" i="36"/>
  <c r="I30" i="36"/>
  <c r="Q30" i="36"/>
  <c r="I345" i="36"/>
  <c r="Q345" i="36"/>
  <c r="I242" i="36"/>
  <c r="Q242" i="36"/>
  <c r="I146" i="36"/>
  <c r="Q146" i="36"/>
  <c r="I188" i="36"/>
  <c r="Q188" i="36"/>
  <c r="I324" i="36"/>
  <c r="Q324" i="36"/>
  <c r="I283" i="36"/>
  <c r="Q283" i="36"/>
  <c r="I91" i="36"/>
  <c r="Q91" i="36"/>
  <c r="I293" i="36"/>
  <c r="Q293" i="36"/>
  <c r="I42" i="36"/>
  <c r="Q42" i="36"/>
  <c r="I148" i="36"/>
  <c r="Q148" i="36"/>
  <c r="I292" i="36"/>
  <c r="S292" i="36" s="1"/>
  <c r="Q292" i="36"/>
  <c r="I321" i="36"/>
  <c r="Q321" i="36"/>
  <c r="I134" i="36"/>
  <c r="S134" i="36" s="1"/>
  <c r="Q134" i="36"/>
  <c r="I335" i="36"/>
  <c r="Q335" i="36"/>
  <c r="I159" i="36"/>
  <c r="S159" i="36" s="1"/>
  <c r="Q159" i="36"/>
  <c r="I96" i="36"/>
  <c r="Q96" i="36"/>
  <c r="I400" i="36"/>
  <c r="Q400" i="36"/>
  <c r="I330" i="36"/>
  <c r="S330" i="36" s="1"/>
  <c r="Q330" i="36"/>
  <c r="I116" i="36"/>
  <c r="Q116" i="36"/>
  <c r="I342" i="36"/>
  <c r="Q342" i="36"/>
  <c r="I375" i="36"/>
  <c r="Q375" i="36"/>
  <c r="I32" i="36"/>
  <c r="Q32" i="36"/>
  <c r="F499" i="49"/>
  <c r="F498" i="49"/>
  <c r="F495" i="49"/>
  <c r="F295" i="29"/>
  <c r="F296" i="29" s="1"/>
  <c r="F292" i="29"/>
  <c r="F291" i="29"/>
  <c r="F293" i="29" s="1"/>
  <c r="J283" i="36" l="1"/>
  <c r="T283" i="36" s="1"/>
  <c r="S283" i="36"/>
  <c r="J358" i="36"/>
  <c r="T358" i="36" s="1"/>
  <c r="S358" i="36"/>
  <c r="J46" i="36"/>
  <c r="T46" i="36" s="1"/>
  <c r="S46" i="36"/>
  <c r="J181" i="36"/>
  <c r="T181" i="36" s="1"/>
  <c r="S181" i="36"/>
  <c r="J323" i="36"/>
  <c r="T323" i="36" s="1"/>
  <c r="S323" i="36"/>
  <c r="J274" i="36"/>
  <c r="T274" i="36" s="1"/>
  <c r="S274" i="36"/>
  <c r="J342" i="36"/>
  <c r="T342" i="36" s="1"/>
  <c r="S342" i="36"/>
  <c r="J96" i="36"/>
  <c r="T96" i="36" s="1"/>
  <c r="S96" i="36"/>
  <c r="J321" i="36"/>
  <c r="T321" i="36" s="1"/>
  <c r="S321" i="36"/>
  <c r="J293" i="36"/>
  <c r="T293" i="36" s="1"/>
  <c r="S293" i="36"/>
  <c r="J188" i="36"/>
  <c r="T188" i="36" s="1"/>
  <c r="S188" i="36"/>
  <c r="J30" i="36"/>
  <c r="T30" i="36" s="1"/>
  <c r="S30" i="36"/>
  <c r="J121" i="36"/>
  <c r="T121" i="36" s="1"/>
  <c r="S121" i="36"/>
  <c r="J265" i="36"/>
  <c r="T265" i="36" s="1"/>
  <c r="S265" i="36"/>
  <c r="J267" i="36"/>
  <c r="T267" i="36" s="1"/>
  <c r="S267" i="36"/>
  <c r="J162" i="36"/>
  <c r="T162" i="36" s="1"/>
  <c r="S162" i="36"/>
  <c r="J169" i="36"/>
  <c r="T169" i="36" s="1"/>
  <c r="S169" i="36"/>
  <c r="J395" i="36"/>
  <c r="T395" i="36" s="1"/>
  <c r="S395" i="36"/>
  <c r="J428" i="36"/>
  <c r="T428" i="36" s="1"/>
  <c r="S428" i="36"/>
  <c r="J90" i="36"/>
  <c r="T90" i="36" s="1"/>
  <c r="S90" i="36"/>
  <c r="J67" i="36"/>
  <c r="T67" i="36" s="1"/>
  <c r="S67" i="36"/>
  <c r="J122" i="36"/>
  <c r="T122" i="36" s="1"/>
  <c r="S122" i="36"/>
  <c r="J320" i="36"/>
  <c r="T320" i="36" s="1"/>
  <c r="S320" i="36"/>
  <c r="J326" i="36"/>
  <c r="T326" i="36" s="1"/>
  <c r="S326" i="36"/>
  <c r="J378" i="36"/>
  <c r="T378" i="36" s="1"/>
  <c r="S378" i="36"/>
  <c r="J173" i="36"/>
  <c r="T173" i="36" s="1"/>
  <c r="S173" i="36"/>
  <c r="J149" i="36"/>
  <c r="T149" i="36" s="1"/>
  <c r="S149" i="36"/>
  <c r="J391" i="36"/>
  <c r="T391" i="36" s="1"/>
  <c r="S391" i="36"/>
  <c r="J417" i="36"/>
  <c r="T417" i="36" s="1"/>
  <c r="S417" i="36"/>
  <c r="J396" i="36"/>
  <c r="T396" i="36" s="1"/>
  <c r="S396" i="36"/>
  <c r="J238" i="36"/>
  <c r="T238" i="36" s="1"/>
  <c r="S238" i="36"/>
  <c r="J79" i="36"/>
  <c r="T79" i="36" s="1"/>
  <c r="S79" i="36"/>
  <c r="J129" i="36"/>
  <c r="T129" i="36" s="1"/>
  <c r="S129" i="36"/>
  <c r="J379" i="36"/>
  <c r="T379" i="36" s="1"/>
  <c r="S379" i="36"/>
  <c r="J175" i="36"/>
  <c r="T175" i="36" s="1"/>
  <c r="S175" i="36"/>
  <c r="J92" i="36"/>
  <c r="T92" i="36" s="1"/>
  <c r="S92" i="36"/>
  <c r="J352" i="36"/>
  <c r="T352" i="36" s="1"/>
  <c r="S352" i="36"/>
  <c r="J189" i="36"/>
  <c r="T189" i="36" s="1"/>
  <c r="S189" i="36"/>
  <c r="J190" i="36"/>
  <c r="T190" i="36" s="1"/>
  <c r="S190" i="36"/>
  <c r="J390" i="36"/>
  <c r="T390" i="36" s="1"/>
  <c r="S390" i="36"/>
  <c r="J194" i="36"/>
  <c r="T194" i="36" s="1"/>
  <c r="S194" i="36"/>
  <c r="J284" i="36"/>
  <c r="T284" i="36" s="1"/>
  <c r="S284" i="36"/>
  <c r="J376" i="36"/>
  <c r="T376" i="36" s="1"/>
  <c r="S376" i="36"/>
  <c r="J201" i="36"/>
  <c r="T201" i="36" s="1"/>
  <c r="S201" i="36"/>
  <c r="J402" i="36"/>
  <c r="T402" i="36" s="1"/>
  <c r="S402" i="36"/>
  <c r="J191" i="36"/>
  <c r="T191" i="36" s="1"/>
  <c r="S191" i="36"/>
  <c r="J252" i="36"/>
  <c r="T252" i="36" s="1"/>
  <c r="S252" i="36"/>
  <c r="J385" i="36"/>
  <c r="T385" i="36" s="1"/>
  <c r="S385" i="36"/>
  <c r="J426" i="36"/>
  <c r="T426" i="36" s="1"/>
  <c r="S426" i="36"/>
  <c r="J245" i="36"/>
  <c r="T245" i="36" s="1"/>
  <c r="S245" i="36"/>
  <c r="J228" i="36"/>
  <c r="T228" i="36" s="1"/>
  <c r="S228" i="36"/>
  <c r="J193" i="36"/>
  <c r="T193" i="36" s="1"/>
  <c r="S193" i="36"/>
  <c r="J197" i="36"/>
  <c r="T197" i="36" s="1"/>
  <c r="S197" i="36"/>
  <c r="J266" i="36"/>
  <c r="T266" i="36" s="1"/>
  <c r="S266" i="36"/>
  <c r="J98" i="36"/>
  <c r="T98" i="36" s="1"/>
  <c r="S98" i="36"/>
  <c r="J99" i="36"/>
  <c r="T99" i="36" s="1"/>
  <c r="S99" i="36"/>
  <c r="J422" i="36"/>
  <c r="T422" i="36" s="1"/>
  <c r="S422" i="36"/>
  <c r="J239" i="36"/>
  <c r="T239" i="36" s="1"/>
  <c r="S239" i="36"/>
  <c r="J192" i="36"/>
  <c r="T192" i="36" s="1"/>
  <c r="S192" i="36"/>
  <c r="J110" i="36"/>
  <c r="T110" i="36" s="1"/>
  <c r="S110" i="36"/>
  <c r="J115" i="36"/>
  <c r="T115" i="36" s="1"/>
  <c r="S115" i="36"/>
  <c r="J78" i="36"/>
  <c r="T78" i="36" s="1"/>
  <c r="S78" i="36"/>
  <c r="J420" i="36"/>
  <c r="T420" i="36" s="1"/>
  <c r="S420" i="36"/>
  <c r="J294" i="36"/>
  <c r="T294" i="36" s="1"/>
  <c r="S294" i="36"/>
  <c r="J132" i="36"/>
  <c r="T132" i="36" s="1"/>
  <c r="S132" i="36"/>
  <c r="J299" i="36"/>
  <c r="T299" i="36" s="1"/>
  <c r="S299" i="36"/>
  <c r="J271" i="36"/>
  <c r="T271" i="36" s="1"/>
  <c r="S271" i="36"/>
  <c r="J333" i="36"/>
  <c r="T333" i="36" s="1"/>
  <c r="S333" i="36"/>
  <c r="J374" i="36"/>
  <c r="T374" i="36" s="1"/>
  <c r="S374" i="36"/>
  <c r="J335" i="36"/>
  <c r="T335" i="36" s="1"/>
  <c r="S335" i="36"/>
  <c r="J277" i="36"/>
  <c r="T277" i="36" s="1"/>
  <c r="S277" i="36"/>
  <c r="J276" i="36"/>
  <c r="T276" i="36" s="1"/>
  <c r="S276" i="36"/>
  <c r="J45" i="36"/>
  <c r="T45" i="36" s="1"/>
  <c r="S45" i="36"/>
  <c r="J42" i="36"/>
  <c r="T42" i="36" s="1"/>
  <c r="S42" i="36"/>
  <c r="J32" i="36"/>
  <c r="T32" i="36" s="1"/>
  <c r="S32" i="36"/>
  <c r="J295" i="36"/>
  <c r="T295" i="36" s="1"/>
  <c r="S295" i="36"/>
  <c r="J44" i="36"/>
  <c r="T44" i="36" s="1"/>
  <c r="S44" i="36"/>
  <c r="J366" i="36"/>
  <c r="T366" i="36" s="1"/>
  <c r="S366" i="36"/>
  <c r="J401" i="36"/>
  <c r="T401" i="36" s="1"/>
  <c r="S401" i="36"/>
  <c r="J146" i="36"/>
  <c r="T146" i="36" s="1"/>
  <c r="S146" i="36"/>
  <c r="J103" i="36"/>
  <c r="T103" i="36" s="1"/>
  <c r="S103" i="36"/>
  <c r="J82" i="36"/>
  <c r="T82" i="36" s="1"/>
  <c r="S82" i="36"/>
  <c r="J76" i="36"/>
  <c r="T76" i="36" s="1"/>
  <c r="S76" i="36"/>
  <c r="J184" i="36"/>
  <c r="T184" i="36" s="1"/>
  <c r="S184" i="36"/>
  <c r="J270" i="36"/>
  <c r="T270" i="36" s="1"/>
  <c r="S270" i="36"/>
  <c r="J255" i="36"/>
  <c r="T255" i="36" s="1"/>
  <c r="S255" i="36"/>
  <c r="J316" i="36"/>
  <c r="T316" i="36" s="1"/>
  <c r="S316" i="36"/>
  <c r="J187" i="36"/>
  <c r="T187" i="36" s="1"/>
  <c r="S187" i="36"/>
  <c r="J117" i="36"/>
  <c r="T117" i="36" s="1"/>
  <c r="S117" i="36"/>
  <c r="J102" i="36"/>
  <c r="T102" i="36" s="1"/>
  <c r="S102" i="36"/>
  <c r="J280" i="36"/>
  <c r="T280" i="36" s="1"/>
  <c r="S280" i="36"/>
  <c r="J272" i="36"/>
  <c r="T272" i="36" s="1"/>
  <c r="S272" i="36"/>
  <c r="J153" i="36"/>
  <c r="T153" i="36" s="1"/>
  <c r="S153" i="36"/>
  <c r="J343" i="36"/>
  <c r="T343" i="36" s="1"/>
  <c r="S343" i="36"/>
  <c r="J346" i="36"/>
  <c r="T346" i="36" s="1"/>
  <c r="S346" i="36"/>
  <c r="J136" i="36"/>
  <c r="T136" i="36" s="1"/>
  <c r="S136" i="36"/>
  <c r="J256" i="36"/>
  <c r="T256" i="36" s="1"/>
  <c r="S256" i="36"/>
  <c r="J297" i="36"/>
  <c r="T297" i="36" s="1"/>
  <c r="S297" i="36"/>
  <c r="J27" i="36"/>
  <c r="T27" i="36" s="1"/>
  <c r="S27" i="36"/>
  <c r="J47" i="36"/>
  <c r="T47" i="36" s="1"/>
  <c r="S47" i="36"/>
  <c r="J218" i="36"/>
  <c r="T218" i="36" s="1"/>
  <c r="S218" i="36"/>
  <c r="J33" i="36"/>
  <c r="T33" i="36" s="1"/>
  <c r="S33" i="36"/>
  <c r="J72" i="36"/>
  <c r="T72" i="36" s="1"/>
  <c r="S72" i="36"/>
  <c r="J273" i="36"/>
  <c r="T273" i="36" s="1"/>
  <c r="S273" i="36"/>
  <c r="J65" i="36"/>
  <c r="T65" i="36" s="1"/>
  <c r="S65" i="36"/>
  <c r="J56" i="36"/>
  <c r="T56" i="36" s="1"/>
  <c r="S56" i="36"/>
  <c r="J392" i="36"/>
  <c r="T392" i="36" s="1"/>
  <c r="S392" i="36"/>
  <c r="J210" i="36"/>
  <c r="T210" i="36" s="1"/>
  <c r="S210" i="36"/>
  <c r="J211" i="36"/>
  <c r="T211" i="36" s="1"/>
  <c r="S211" i="36"/>
  <c r="J414" i="36"/>
  <c r="T414" i="36" s="1"/>
  <c r="S414" i="36"/>
  <c r="J303" i="36"/>
  <c r="T303" i="36" s="1"/>
  <c r="S303" i="36"/>
  <c r="J315" i="36"/>
  <c r="T315" i="36" s="1"/>
  <c r="S315" i="36"/>
  <c r="J86" i="36"/>
  <c r="T86" i="36" s="1"/>
  <c r="S86" i="36"/>
  <c r="J36" i="36"/>
  <c r="T36" i="36" s="1"/>
  <c r="S36" i="36"/>
  <c r="J222" i="36"/>
  <c r="T222" i="36" s="1"/>
  <c r="S222" i="36"/>
  <c r="J421" i="36"/>
  <c r="T421" i="36" s="1"/>
  <c r="S421" i="36"/>
  <c r="J398" i="36"/>
  <c r="T398" i="36" s="1"/>
  <c r="S398" i="36"/>
  <c r="J152" i="36"/>
  <c r="T152" i="36" s="1"/>
  <c r="S152" i="36"/>
  <c r="J133" i="36"/>
  <c r="T133" i="36" s="1"/>
  <c r="S133" i="36"/>
  <c r="J312" i="36"/>
  <c r="T312" i="36" s="1"/>
  <c r="S312" i="36"/>
  <c r="J70" i="36"/>
  <c r="T70" i="36" s="1"/>
  <c r="S70" i="36"/>
  <c r="J413" i="36"/>
  <c r="T413" i="36" s="1"/>
  <c r="S413" i="36"/>
  <c r="J183" i="36"/>
  <c r="T183" i="36" s="1"/>
  <c r="S183" i="36"/>
  <c r="J243" i="36"/>
  <c r="T243" i="36" s="1"/>
  <c r="S243" i="36"/>
  <c r="J418" i="36"/>
  <c r="T418" i="36" s="1"/>
  <c r="S418" i="36"/>
  <c r="J423" i="36"/>
  <c r="T423" i="36" s="1"/>
  <c r="S423" i="36"/>
  <c r="J400" i="36"/>
  <c r="T400" i="36" s="1"/>
  <c r="S400" i="36"/>
  <c r="J345" i="36"/>
  <c r="T345" i="36" s="1"/>
  <c r="S345" i="36"/>
  <c r="J116" i="36"/>
  <c r="T116" i="36" s="1"/>
  <c r="S116" i="36"/>
  <c r="J91" i="36"/>
  <c r="T91" i="36" s="1"/>
  <c r="S91" i="36"/>
  <c r="J147" i="36"/>
  <c r="T147" i="36" s="1"/>
  <c r="S147" i="36"/>
  <c r="J354" i="36"/>
  <c r="T354" i="36" s="1"/>
  <c r="S354" i="36"/>
  <c r="J101" i="36"/>
  <c r="T101" i="36" s="1"/>
  <c r="S101" i="36"/>
  <c r="J340" i="36"/>
  <c r="T340" i="36" s="1"/>
  <c r="S340" i="36"/>
  <c r="J254" i="36"/>
  <c r="T254" i="36" s="1"/>
  <c r="S254" i="36"/>
  <c r="J137" i="36"/>
  <c r="T137" i="36" s="1"/>
  <c r="S137" i="36"/>
  <c r="J384" i="36"/>
  <c r="T384" i="36" s="1"/>
  <c r="S384" i="36"/>
  <c r="J347" i="36"/>
  <c r="T347" i="36" s="1"/>
  <c r="S347" i="36"/>
  <c r="J298" i="36"/>
  <c r="T298" i="36" s="1"/>
  <c r="S298" i="36"/>
  <c r="J288" i="36"/>
  <c r="T288" i="36" s="1"/>
  <c r="S288" i="36"/>
  <c r="J174" i="36"/>
  <c r="T174" i="36" s="1"/>
  <c r="S174" i="36"/>
  <c r="J93" i="36"/>
  <c r="T93" i="36" s="1"/>
  <c r="S93" i="36"/>
  <c r="J325" i="36"/>
  <c r="T325" i="36" s="1"/>
  <c r="S325" i="36"/>
  <c r="J380" i="36"/>
  <c r="T380" i="36" s="1"/>
  <c r="S380" i="36"/>
  <c r="J28" i="36"/>
  <c r="T28" i="36" s="1"/>
  <c r="S28" i="36"/>
  <c r="J59" i="36"/>
  <c r="T59" i="36" s="1"/>
  <c r="S59" i="36"/>
  <c r="J209" i="36"/>
  <c r="T209" i="36" s="1"/>
  <c r="S209" i="36"/>
  <c r="J148" i="36"/>
  <c r="T148" i="36" s="1"/>
  <c r="S148" i="36"/>
  <c r="J313" i="36"/>
  <c r="T313" i="36" s="1"/>
  <c r="S313" i="36"/>
  <c r="J23" i="36"/>
  <c r="T23" i="36" s="1"/>
  <c r="S23" i="36"/>
  <c r="J100" i="36"/>
  <c r="T100" i="36" s="1"/>
  <c r="S100" i="36"/>
  <c r="J195" i="36"/>
  <c r="T195" i="36" s="1"/>
  <c r="S195" i="36"/>
  <c r="J253" i="36"/>
  <c r="T253" i="36" s="1"/>
  <c r="S253" i="36"/>
  <c r="J60" i="36"/>
  <c r="T60" i="36" s="1"/>
  <c r="S60" i="36"/>
  <c r="J341" i="36"/>
  <c r="T341" i="36" s="1"/>
  <c r="S341" i="36"/>
  <c r="J296" i="36"/>
  <c r="T296" i="36" s="1"/>
  <c r="S296" i="36"/>
  <c r="J37" i="36"/>
  <c r="T37" i="36" s="1"/>
  <c r="S37" i="36"/>
  <c r="J388" i="36"/>
  <c r="T388" i="36" s="1"/>
  <c r="S388" i="36"/>
  <c r="J359" i="36"/>
  <c r="T359" i="36" s="1"/>
  <c r="S359" i="36"/>
  <c r="J377" i="36"/>
  <c r="T377" i="36" s="1"/>
  <c r="S377" i="36"/>
  <c r="J66" i="36"/>
  <c r="T66" i="36" s="1"/>
  <c r="S66" i="36"/>
  <c r="J339" i="36"/>
  <c r="T339" i="36" s="1"/>
  <c r="S339" i="36"/>
  <c r="J57" i="36"/>
  <c r="T57" i="36" s="1"/>
  <c r="S57" i="36"/>
  <c r="J145" i="36"/>
  <c r="T145" i="36" s="1"/>
  <c r="S145" i="36"/>
  <c r="J25" i="36"/>
  <c r="T25" i="36" s="1"/>
  <c r="S25" i="36"/>
  <c r="J108" i="36"/>
  <c r="T108" i="36" s="1"/>
  <c r="S108" i="36"/>
  <c r="J386" i="36"/>
  <c r="T386" i="36" s="1"/>
  <c r="S386" i="36"/>
  <c r="J89" i="36"/>
  <c r="T89" i="36" s="1"/>
  <c r="S89" i="36"/>
  <c r="J369" i="36"/>
  <c r="T369" i="36" s="1"/>
  <c r="S369" i="36"/>
  <c r="J109" i="36"/>
  <c r="T109" i="36" s="1"/>
  <c r="S109" i="36"/>
  <c r="J155" i="36"/>
  <c r="T155" i="36" s="1"/>
  <c r="S155" i="36"/>
  <c r="J186" i="36"/>
  <c r="T186" i="36" s="1"/>
  <c r="S186" i="36"/>
  <c r="J212" i="36"/>
  <c r="T212" i="36" s="1"/>
  <c r="S212" i="36"/>
  <c r="J317" i="36"/>
  <c r="T317" i="36" s="1"/>
  <c r="S317" i="36"/>
  <c r="J229" i="36"/>
  <c r="T229" i="36" s="1"/>
  <c r="S229" i="36"/>
  <c r="J322" i="36"/>
  <c r="T322" i="36" s="1"/>
  <c r="S322" i="36"/>
  <c r="J353" i="36"/>
  <c r="T353" i="36" s="1"/>
  <c r="S353" i="36"/>
  <c r="J74" i="36"/>
  <c r="T74" i="36" s="1"/>
  <c r="S74" i="36"/>
  <c r="J29" i="36"/>
  <c r="T29" i="36" s="1"/>
  <c r="S29" i="36"/>
  <c r="J314" i="36"/>
  <c r="T314" i="36" s="1"/>
  <c r="S314" i="36"/>
  <c r="J135" i="36"/>
  <c r="T135" i="36" s="1"/>
  <c r="S135" i="36"/>
  <c r="J200" i="36"/>
  <c r="T200" i="36" s="1"/>
  <c r="S200" i="36"/>
  <c r="J97" i="36"/>
  <c r="T97" i="36" s="1"/>
  <c r="S97" i="36"/>
  <c r="J242" i="36"/>
  <c r="T242" i="36" s="1"/>
  <c r="S242" i="36"/>
  <c r="J172" i="36"/>
  <c r="T172" i="36" s="1"/>
  <c r="S172" i="36"/>
  <c r="J118" i="36"/>
  <c r="T118" i="36" s="1"/>
  <c r="S118" i="36"/>
  <c r="J22" i="36"/>
  <c r="T22" i="36" s="1"/>
  <c r="S22" i="36"/>
  <c r="J375" i="36"/>
  <c r="T375" i="36" s="1"/>
  <c r="S375" i="36"/>
  <c r="J324" i="36"/>
  <c r="T324" i="36" s="1"/>
  <c r="S324" i="36"/>
  <c r="J75" i="36"/>
  <c r="T75" i="36" s="1"/>
  <c r="S75" i="36"/>
  <c r="J48" i="36"/>
  <c r="T48" i="36" s="1"/>
  <c r="S48" i="36"/>
  <c r="J51" i="36"/>
  <c r="T51" i="36" s="1"/>
  <c r="S51" i="36"/>
  <c r="J31" i="36"/>
  <c r="T31" i="36" s="1"/>
  <c r="S31" i="36"/>
  <c r="J81" i="36"/>
  <c r="T81" i="36" s="1"/>
  <c r="S81" i="36"/>
  <c r="J355" i="36"/>
  <c r="T355" i="36" s="1"/>
  <c r="S355" i="36"/>
  <c r="J419" i="36"/>
  <c r="T419" i="36" s="1"/>
  <c r="S419" i="36"/>
  <c r="J289" i="36"/>
  <c r="T289" i="36" s="1"/>
  <c r="S289" i="36"/>
  <c r="J21" i="36"/>
  <c r="T21" i="36" s="1"/>
  <c r="S21" i="36"/>
  <c r="J61" i="36"/>
  <c r="T61" i="36" s="1"/>
  <c r="S61" i="36"/>
  <c r="J62" i="36"/>
  <c r="T62" i="36" s="1"/>
  <c r="S62" i="36"/>
  <c r="J357" i="36"/>
  <c r="T357" i="36" s="1"/>
  <c r="S357" i="36"/>
  <c r="J310" i="36"/>
  <c r="T310" i="36" s="1"/>
  <c r="S310" i="36"/>
  <c r="J415" i="36"/>
  <c r="T415" i="36" s="1"/>
  <c r="S415" i="36"/>
  <c r="J275" i="36"/>
  <c r="T275" i="36" s="1"/>
  <c r="S275" i="36"/>
  <c r="J202" i="36"/>
  <c r="T202" i="36" s="1"/>
  <c r="S202" i="36"/>
  <c r="J260" i="36"/>
  <c r="T260" i="36" s="1"/>
  <c r="S260" i="36"/>
  <c r="J244" i="36"/>
  <c r="T244" i="36" s="1"/>
  <c r="S244" i="36"/>
  <c r="J171" i="36"/>
  <c r="T171" i="36" s="1"/>
  <c r="S171" i="36"/>
  <c r="J71" i="36"/>
  <c r="T71" i="36" s="1"/>
  <c r="S71" i="36"/>
  <c r="J73" i="36"/>
  <c r="T73" i="36" s="1"/>
  <c r="S73" i="36"/>
  <c r="J269" i="36"/>
  <c r="T269" i="36" s="1"/>
  <c r="S269" i="36"/>
  <c r="J381" i="36"/>
  <c r="T381" i="36" s="1"/>
  <c r="S381" i="36"/>
  <c r="J362" i="36"/>
  <c r="T362" i="36" s="1"/>
  <c r="S362" i="36"/>
  <c r="J331" i="36"/>
  <c r="T331" i="36" s="1"/>
  <c r="S331" i="36"/>
  <c r="J83" i="36"/>
  <c r="T83" i="36" s="1"/>
  <c r="S83" i="36"/>
  <c r="J87" i="36"/>
  <c r="T87" i="36" s="1"/>
  <c r="S87" i="36"/>
  <c r="J285" i="36"/>
  <c r="T285" i="36" s="1"/>
  <c r="S285" i="36"/>
  <c r="J406" i="36"/>
  <c r="T406" i="36" s="1"/>
  <c r="S406" i="36"/>
  <c r="J389" i="36"/>
  <c r="T389" i="36" s="1"/>
  <c r="S389" i="36"/>
  <c r="J356" i="36"/>
  <c r="T356" i="36" s="1"/>
  <c r="S356" i="36"/>
  <c r="J55" i="36"/>
  <c r="T55" i="36" s="1"/>
  <c r="S55" i="36"/>
  <c r="J80" i="36"/>
  <c r="T80" i="36" s="1"/>
  <c r="S80" i="36"/>
  <c r="J58" i="36"/>
  <c r="T58" i="36" s="1"/>
  <c r="S58" i="36"/>
  <c r="J412" i="36"/>
  <c r="T412" i="36" s="1"/>
  <c r="S412" i="36"/>
  <c r="J383" i="36"/>
  <c r="T383" i="36" s="1"/>
  <c r="S383" i="36"/>
  <c r="J85" i="36"/>
  <c r="T85" i="36" s="1"/>
  <c r="S85" i="36"/>
  <c r="J348" i="36"/>
  <c r="T348" i="36" s="1"/>
  <c r="S348" i="36"/>
  <c r="J84" i="36"/>
  <c r="T84" i="36" s="1"/>
  <c r="S84" i="36"/>
  <c r="J397" i="36"/>
  <c r="T397" i="36" s="1"/>
  <c r="S397" i="36"/>
  <c r="J119" i="36"/>
  <c r="T119" i="36" s="1"/>
  <c r="S119" i="36"/>
  <c r="J394" i="36"/>
  <c r="T394" i="36" s="1"/>
  <c r="S394" i="36"/>
  <c r="J196" i="36"/>
  <c r="T196" i="36" s="1"/>
  <c r="S196" i="36"/>
  <c r="J111" i="36"/>
  <c r="T111" i="36" s="1"/>
  <c r="S111" i="36"/>
  <c r="J38" i="36"/>
  <c r="T38" i="36" s="1"/>
  <c r="S38" i="36"/>
  <c r="J68" i="36"/>
  <c r="T68" i="36" s="1"/>
  <c r="S68" i="36"/>
  <c r="J405" i="36"/>
  <c r="T405" i="36" s="1"/>
  <c r="S405" i="36"/>
  <c r="J151" i="36"/>
  <c r="T151" i="36" s="1"/>
  <c r="S151" i="36"/>
  <c r="J43" i="36"/>
  <c r="T43" i="36" s="1"/>
  <c r="S43" i="36"/>
  <c r="J351" i="36"/>
  <c r="T351" i="36" s="1"/>
  <c r="S351" i="36"/>
  <c r="J360" i="36"/>
  <c r="T360" i="36" s="1"/>
  <c r="S360" i="36"/>
  <c r="J107" i="36"/>
  <c r="T107" i="36" s="1"/>
  <c r="S107" i="36"/>
  <c r="J24" i="36"/>
  <c r="T24" i="36" s="1"/>
  <c r="S24" i="36"/>
  <c r="J344" i="36"/>
  <c r="T344" i="36" s="1"/>
  <c r="S344" i="36"/>
  <c r="J233" i="36"/>
  <c r="T233" i="36" s="1"/>
  <c r="S233" i="36"/>
  <c r="J427" i="36"/>
  <c r="T427" i="36" s="1"/>
  <c r="S427" i="36"/>
  <c r="N2643" i="52"/>
  <c r="N2634" i="52"/>
  <c r="L2614" i="52"/>
  <c r="L2605" i="52"/>
  <c r="F496" i="49"/>
  <c r="F500" i="49"/>
  <c r="F501" i="49" s="1"/>
  <c r="K423" i="36" s="1"/>
  <c r="E423" i="36" s="1"/>
  <c r="F297" i="29"/>
  <c r="K285" i="36" s="1"/>
  <c r="E285" i="36" s="1"/>
  <c r="I182" i="50" l="1"/>
  <c r="I181" i="50"/>
  <c r="I180" i="50"/>
  <c r="H208" i="36"/>
  <c r="G208" i="36" s="1"/>
  <c r="B10" i="51"/>
  <c r="B9" i="51"/>
  <c r="B8" i="51"/>
  <c r="B7" i="51"/>
  <c r="B6" i="51"/>
  <c r="C122" i="51"/>
  <c r="E115" i="51" s="1"/>
  <c r="F115" i="51" s="1"/>
  <c r="F116" i="51" s="1"/>
  <c r="C119" i="51"/>
  <c r="B119" i="51"/>
  <c r="F112" i="51"/>
  <c r="F111" i="51"/>
  <c r="F104" i="51"/>
  <c r="F105" i="51" s="1"/>
  <c r="F101" i="51"/>
  <c r="F100" i="51"/>
  <c r="F102" i="51" s="1"/>
  <c r="F93" i="51"/>
  <c r="F92" i="51"/>
  <c r="F91" i="51"/>
  <c r="F90" i="51"/>
  <c r="F89" i="51"/>
  <c r="F88" i="51"/>
  <c r="F87" i="51"/>
  <c r="F84" i="51"/>
  <c r="F83" i="51"/>
  <c r="F82" i="51"/>
  <c r="F81" i="51"/>
  <c r="F80" i="51"/>
  <c r="F79" i="51"/>
  <c r="F71" i="51"/>
  <c r="F70" i="51"/>
  <c r="F69" i="51"/>
  <c r="F68" i="51"/>
  <c r="F67" i="51"/>
  <c r="F66" i="51"/>
  <c r="F63" i="51"/>
  <c r="F62" i="51"/>
  <c r="F61" i="51"/>
  <c r="F60" i="51"/>
  <c r="F53" i="51"/>
  <c r="F52" i="51"/>
  <c r="F49" i="51"/>
  <c r="F50" i="51" s="1"/>
  <c r="F46" i="51"/>
  <c r="F45" i="51"/>
  <c r="F42" i="51"/>
  <c r="F41" i="51"/>
  <c r="F43" i="51" s="1"/>
  <c r="F34" i="51"/>
  <c r="F35" i="51" s="1"/>
  <c r="F31" i="51"/>
  <c r="F30" i="51"/>
  <c r="F32" i="51" s="1"/>
  <c r="F23" i="51"/>
  <c r="F22" i="51"/>
  <c r="F21" i="51"/>
  <c r="F20" i="51"/>
  <c r="F19" i="51"/>
  <c r="F16" i="51"/>
  <c r="F15" i="51"/>
  <c r="F6" i="51"/>
  <c r="F2" i="50"/>
  <c r="B6" i="50"/>
  <c r="B5" i="50"/>
  <c r="B4" i="50"/>
  <c r="B3" i="50"/>
  <c r="B2" i="50"/>
  <c r="F581" i="50"/>
  <c r="F580" i="50"/>
  <c r="F577" i="50"/>
  <c r="F576" i="50"/>
  <c r="F569" i="50"/>
  <c r="F568" i="50"/>
  <c r="F565" i="50"/>
  <c r="F564" i="50"/>
  <c r="F557" i="50"/>
  <c r="F556" i="50"/>
  <c r="F553" i="50"/>
  <c r="F552" i="50"/>
  <c r="F545" i="50"/>
  <c r="F544" i="50"/>
  <c r="F541" i="50"/>
  <c r="F542" i="50" s="1"/>
  <c r="F540" i="50"/>
  <c r="F533" i="50"/>
  <c r="F532" i="50"/>
  <c r="F529" i="50"/>
  <c r="F528" i="50"/>
  <c r="C523" i="50"/>
  <c r="E515" i="50" s="1"/>
  <c r="F515" i="50" s="1"/>
  <c r="F516" i="50" s="1"/>
  <c r="F512" i="50"/>
  <c r="F511" i="50"/>
  <c r="C506" i="50"/>
  <c r="E498" i="50" s="1"/>
  <c r="F498" i="50" s="1"/>
  <c r="F495" i="50"/>
  <c r="F494" i="50"/>
  <c r="F493" i="50"/>
  <c r="F486" i="50"/>
  <c r="F487" i="50" s="1"/>
  <c r="F483" i="50"/>
  <c r="F482" i="50"/>
  <c r="C477" i="50"/>
  <c r="E469" i="50" s="1"/>
  <c r="F469" i="50" s="1"/>
  <c r="F468" i="50"/>
  <c r="F467" i="50"/>
  <c r="F464" i="50"/>
  <c r="F463" i="50"/>
  <c r="F456" i="50"/>
  <c r="F455" i="50"/>
  <c r="F457" i="50" s="1"/>
  <c r="F452" i="50"/>
  <c r="F451" i="50"/>
  <c r="F444" i="50"/>
  <c r="F443" i="50"/>
  <c r="F440" i="50"/>
  <c r="F439" i="50"/>
  <c r="C434" i="50"/>
  <c r="E426" i="50" s="1"/>
  <c r="F426" i="50" s="1"/>
  <c r="F425" i="50"/>
  <c r="F424" i="50"/>
  <c r="F421" i="50"/>
  <c r="F420" i="50"/>
  <c r="C415" i="50"/>
  <c r="E407" i="50" s="1"/>
  <c r="F407" i="50" s="1"/>
  <c r="F408" i="50" s="1"/>
  <c r="F404" i="50"/>
  <c r="F403" i="50"/>
  <c r="C398" i="50"/>
  <c r="E390" i="50" s="1"/>
  <c r="F390" i="50" s="1"/>
  <c r="F391" i="50" s="1"/>
  <c r="F387" i="50"/>
  <c r="F386" i="50"/>
  <c r="F388" i="50" s="1"/>
  <c r="F379" i="50"/>
  <c r="F380" i="50" s="1"/>
  <c r="F376" i="50"/>
  <c r="F375" i="50"/>
  <c r="C370" i="50"/>
  <c r="E362" i="50" s="1"/>
  <c r="F362" i="50" s="1"/>
  <c r="F363" i="50" s="1"/>
  <c r="F359" i="50"/>
  <c r="F358" i="50"/>
  <c r="F351" i="50"/>
  <c r="F352" i="50" s="1"/>
  <c r="F348" i="50"/>
  <c r="F347" i="50"/>
  <c r="C342" i="50"/>
  <c r="E334" i="50" s="1"/>
  <c r="F334" i="50" s="1"/>
  <c r="F335" i="50" s="1"/>
  <c r="F331" i="50"/>
  <c r="F330" i="50"/>
  <c r="C325" i="50"/>
  <c r="E317" i="50" s="1"/>
  <c r="F317" i="50" s="1"/>
  <c r="F318" i="50" s="1"/>
  <c r="F314" i="50"/>
  <c r="F313" i="50"/>
  <c r="F306" i="50"/>
  <c r="F305" i="50"/>
  <c r="F302" i="50"/>
  <c r="F301" i="50"/>
  <c r="C296" i="50"/>
  <c r="E288" i="50" s="1"/>
  <c r="F288" i="50" s="1"/>
  <c r="F289" i="50" s="1"/>
  <c r="F285" i="50"/>
  <c r="F284" i="50"/>
  <c r="C279" i="50"/>
  <c r="E271" i="50" s="1"/>
  <c r="F271" i="50" s="1"/>
  <c r="F272" i="50" s="1"/>
  <c r="F268" i="50"/>
  <c r="F267" i="50"/>
  <c r="C262" i="50"/>
  <c r="E254" i="50" s="1"/>
  <c r="F254" i="50" s="1"/>
  <c r="F255" i="50" s="1"/>
  <c r="F251" i="50"/>
  <c r="F252" i="50" s="1"/>
  <c r="F250" i="50"/>
  <c r="F243" i="50"/>
  <c r="F244" i="50" s="1"/>
  <c r="F240" i="50"/>
  <c r="F239" i="50"/>
  <c r="F232" i="50"/>
  <c r="F233" i="50" s="1"/>
  <c r="F229" i="50"/>
  <c r="F228" i="50"/>
  <c r="F230" i="50" s="1"/>
  <c r="F221" i="50"/>
  <c r="F220" i="50"/>
  <c r="F219" i="50"/>
  <c r="F218" i="50"/>
  <c r="F217" i="50"/>
  <c r="F216" i="50"/>
  <c r="F215" i="50"/>
  <c r="F214" i="50"/>
  <c r="F213" i="50"/>
  <c r="F210" i="50"/>
  <c r="F209" i="50"/>
  <c r="F202" i="50"/>
  <c r="F203" i="50" s="1"/>
  <c r="F199" i="50"/>
  <c r="F200" i="50" s="1"/>
  <c r="F192" i="50"/>
  <c r="F193" i="50" s="1"/>
  <c r="F189" i="50"/>
  <c r="F188" i="50"/>
  <c r="C183" i="50"/>
  <c r="E175" i="50" s="1"/>
  <c r="F175" i="50" s="1"/>
  <c r="F176" i="50" s="1"/>
  <c r="F172" i="50"/>
  <c r="F171" i="50"/>
  <c r="C165" i="50"/>
  <c r="C164" i="50"/>
  <c r="C163" i="50"/>
  <c r="C160" i="50"/>
  <c r="E146" i="50" s="1"/>
  <c r="F146" i="50" s="1"/>
  <c r="C152" i="50"/>
  <c r="C151" i="50"/>
  <c r="F144" i="50"/>
  <c r="F140" i="50"/>
  <c r="F139" i="50"/>
  <c r="C134" i="50"/>
  <c r="E126" i="50" s="1"/>
  <c r="F126" i="50" s="1"/>
  <c r="F127" i="50" s="1"/>
  <c r="F123" i="50"/>
  <c r="F122" i="50"/>
  <c r="C117" i="50"/>
  <c r="E109" i="50" s="1"/>
  <c r="F109" i="50" s="1"/>
  <c r="F110" i="50" s="1"/>
  <c r="F106" i="50"/>
  <c r="F105" i="50"/>
  <c r="C100" i="50"/>
  <c r="E92" i="50" s="1"/>
  <c r="F92" i="50" s="1"/>
  <c r="F93" i="50" s="1"/>
  <c r="F89" i="50"/>
  <c r="F88" i="50"/>
  <c r="F90" i="50" s="1"/>
  <c r="C80" i="50"/>
  <c r="C83" i="50" s="1"/>
  <c r="E75" i="50" s="1"/>
  <c r="F75" i="50" s="1"/>
  <c r="F76" i="50" s="1"/>
  <c r="F72" i="50"/>
  <c r="F71" i="50"/>
  <c r="F73" i="50" s="1"/>
  <c r="C63" i="50"/>
  <c r="C66" i="50" s="1"/>
  <c r="E58" i="50" s="1"/>
  <c r="F58" i="50" s="1"/>
  <c r="F59" i="50" s="1"/>
  <c r="F55" i="50"/>
  <c r="F56" i="50" s="1"/>
  <c r="C49" i="50"/>
  <c r="C47" i="50"/>
  <c r="F39" i="50"/>
  <c r="F40" i="50" s="1"/>
  <c r="C34" i="50"/>
  <c r="E26" i="50" s="1"/>
  <c r="F26" i="50" s="1"/>
  <c r="F27" i="50" s="1"/>
  <c r="F23" i="50"/>
  <c r="F22" i="50"/>
  <c r="F15" i="50"/>
  <c r="F16" i="50" s="1"/>
  <c r="F12" i="50"/>
  <c r="F13" i="50" s="1"/>
  <c r="F11" i="50"/>
  <c r="J208" i="36" l="1"/>
  <c r="T208" i="36" s="1"/>
  <c r="R208" i="36"/>
  <c r="F113" i="51"/>
  <c r="F117" i="51" s="1"/>
  <c r="K161" i="36" s="1"/>
  <c r="E161" i="36" s="1"/>
  <c r="G161" i="36" s="1"/>
  <c r="F360" i="50"/>
  <c r="F441" i="50"/>
  <c r="F377" i="50"/>
  <c r="F124" i="50"/>
  <c r="F453" i="50"/>
  <c r="F458" i="50" s="1"/>
  <c r="K215" i="36" s="1"/>
  <c r="E215" i="36" s="1"/>
  <c r="G215" i="36" s="1"/>
  <c r="F60" i="50"/>
  <c r="K223" i="36" s="1"/>
  <c r="E223" i="36" s="1"/>
  <c r="G223" i="36" s="1"/>
  <c r="F364" i="50"/>
  <c r="K198" i="36" s="1"/>
  <c r="E198" i="36" s="1"/>
  <c r="G198" i="36" s="1"/>
  <c r="F570" i="50"/>
  <c r="C154" i="50"/>
  <c r="E143" i="50" s="1"/>
  <c r="F143" i="50" s="1"/>
  <c r="F578" i="50"/>
  <c r="F583" i="50" s="1"/>
  <c r="K177" i="36" s="1"/>
  <c r="E177" i="36" s="1"/>
  <c r="G177" i="36" s="1"/>
  <c r="F582" i="50"/>
  <c r="F422" i="50"/>
  <c r="F513" i="50"/>
  <c r="F517" i="50" s="1"/>
  <c r="K234" i="36" s="1"/>
  <c r="E234" i="36" s="1"/>
  <c r="G234" i="36" s="1"/>
  <c r="F24" i="50"/>
  <c r="F28" i="50" s="1"/>
  <c r="K225" i="36" s="1"/>
  <c r="E225" i="36" s="1"/>
  <c r="G225" i="36" s="1"/>
  <c r="F77" i="50"/>
  <c r="K226" i="36" s="1"/>
  <c r="E226" i="36" s="1"/>
  <c r="G226" i="36" s="1"/>
  <c r="F107" i="50"/>
  <c r="F111" i="50" s="1"/>
  <c r="K241" i="36" s="1"/>
  <c r="E241" i="36" s="1"/>
  <c r="G241" i="36" s="1"/>
  <c r="F173" i="50"/>
  <c r="F392" i="50"/>
  <c r="K199" i="36" s="1"/>
  <c r="E199" i="36" s="1"/>
  <c r="G199" i="36" s="1"/>
  <c r="F427" i="50"/>
  <c r="C50" i="50"/>
  <c r="E42" i="50" s="1"/>
  <c r="F42" i="50" s="1"/>
  <c r="F43" i="50" s="1"/>
  <c r="F44" i="50" s="1"/>
  <c r="K224" i="36" s="1"/>
  <c r="E224" i="36" s="1"/>
  <c r="G224" i="36" s="1"/>
  <c r="F269" i="50"/>
  <c r="F332" i="50"/>
  <c r="F484" i="50"/>
  <c r="F488" i="50" s="1"/>
  <c r="K217" i="36" s="1"/>
  <c r="E217" i="36" s="1"/>
  <c r="G217" i="36" s="1"/>
  <c r="F530" i="50"/>
  <c r="F554" i="50"/>
  <c r="F54" i="51"/>
  <c r="F141" i="50"/>
  <c r="F241" i="50"/>
  <c r="F303" i="50"/>
  <c r="F546" i="50"/>
  <c r="F547" i="50" s="1"/>
  <c r="K180" i="36" s="1"/>
  <c r="E180" i="36" s="1"/>
  <c r="G180" i="36" s="1"/>
  <c r="F558" i="50"/>
  <c r="F36" i="51"/>
  <c r="K52" i="36" s="1"/>
  <c r="E52" i="36" s="1"/>
  <c r="G52" i="36" s="1"/>
  <c r="F47" i="51"/>
  <c r="F55" i="51" s="1"/>
  <c r="K53" i="36" s="1"/>
  <c r="E53" i="36" s="1"/>
  <c r="G53" i="36" s="1"/>
  <c r="F106" i="51"/>
  <c r="K160" i="36" s="1"/>
  <c r="E160" i="36" s="1"/>
  <c r="G160" i="36" s="1"/>
  <c r="F94" i="51"/>
  <c r="F24" i="51"/>
  <c r="F64" i="51"/>
  <c r="F85" i="51"/>
  <c r="F72" i="51"/>
  <c r="F17" i="51"/>
  <c r="F25" i="51" s="1"/>
  <c r="K50" i="36" s="1"/>
  <c r="E50" i="36" s="1"/>
  <c r="G50" i="36" s="1"/>
  <c r="F428" i="50"/>
  <c r="K213" i="36" s="1"/>
  <c r="E213" i="36" s="1"/>
  <c r="G213" i="36" s="1"/>
  <c r="F470" i="50"/>
  <c r="F496" i="50"/>
  <c r="F17" i="50"/>
  <c r="K221" i="36" s="1"/>
  <c r="E221" i="36" s="1"/>
  <c r="G221" i="36" s="1"/>
  <c r="F307" i="50"/>
  <c r="F308" i="50" s="1"/>
  <c r="K170" i="36" s="1"/>
  <c r="E170" i="36" s="1"/>
  <c r="G170" i="36" s="1"/>
  <c r="F445" i="50"/>
  <c r="F204" i="50"/>
  <c r="F315" i="50"/>
  <c r="F319" i="50" s="1"/>
  <c r="K182" i="36" s="1"/>
  <c r="E182" i="36" s="1"/>
  <c r="G182" i="36" s="1"/>
  <c r="F534" i="50"/>
  <c r="F535" i="50" s="1"/>
  <c r="K176" i="36" s="1"/>
  <c r="E176" i="36" s="1"/>
  <c r="G176" i="36" s="1"/>
  <c r="F211" i="50"/>
  <c r="F286" i="50"/>
  <c r="F290" i="50" s="1"/>
  <c r="K257" i="36" s="1"/>
  <c r="E257" i="36" s="1"/>
  <c r="G257" i="36" s="1"/>
  <c r="F349" i="50"/>
  <c r="F353" i="50" s="1"/>
  <c r="K203" i="36" s="1"/>
  <c r="E203" i="36" s="1"/>
  <c r="G203" i="36" s="1"/>
  <c r="F405" i="50"/>
  <c r="F409" i="50" s="1"/>
  <c r="K207" i="36" s="1"/>
  <c r="E207" i="36" s="1"/>
  <c r="G207" i="36" s="1"/>
  <c r="F465" i="50"/>
  <c r="F94" i="50"/>
  <c r="K240" i="36" s="1"/>
  <c r="E240" i="36" s="1"/>
  <c r="G240" i="36" s="1"/>
  <c r="F128" i="50"/>
  <c r="K248" i="36" s="1"/>
  <c r="E248" i="36" s="1"/>
  <c r="G248" i="36" s="1"/>
  <c r="F190" i="50"/>
  <c r="F194" i="50" s="1"/>
  <c r="F222" i="50"/>
  <c r="F256" i="50"/>
  <c r="K236" i="36" s="1"/>
  <c r="E236" i="36" s="1"/>
  <c r="G236" i="36" s="1"/>
  <c r="F381" i="50"/>
  <c r="K205" i="36" s="1"/>
  <c r="E205" i="36" s="1"/>
  <c r="G205" i="36" s="1"/>
  <c r="F446" i="50"/>
  <c r="K214" i="36" s="1"/>
  <c r="E214" i="36" s="1"/>
  <c r="G214" i="36" s="1"/>
  <c r="F566" i="50"/>
  <c r="C166" i="50"/>
  <c r="E145" i="50" s="1"/>
  <c r="F145" i="50" s="1"/>
  <c r="F147" i="50" s="1"/>
  <c r="F148" i="50" s="1"/>
  <c r="K227" i="36" s="1"/>
  <c r="E227" i="36" s="1"/>
  <c r="G227" i="36" s="1"/>
  <c r="F234" i="50"/>
  <c r="K231" i="36" s="1"/>
  <c r="E231" i="36" s="1"/>
  <c r="G231" i="36" s="1"/>
  <c r="F336" i="50"/>
  <c r="K185" i="36" s="1"/>
  <c r="E185" i="36" s="1"/>
  <c r="G185" i="36" s="1"/>
  <c r="F499" i="50"/>
  <c r="F500" i="50" s="1"/>
  <c r="K237" i="36" s="1"/>
  <c r="E237" i="36" s="1"/>
  <c r="G237" i="36" s="1"/>
  <c r="F273" i="50"/>
  <c r="K251" i="36" s="1"/>
  <c r="E251" i="36" s="1"/>
  <c r="G251" i="36" s="1"/>
  <c r="F177" i="50"/>
  <c r="K235" i="36" s="1"/>
  <c r="E235" i="36" s="1"/>
  <c r="G235" i="36" s="1"/>
  <c r="F245" i="50"/>
  <c r="J231" i="36" l="1"/>
  <c r="T231" i="36" s="1"/>
  <c r="R231" i="36"/>
  <c r="J234" i="36"/>
  <c r="T234" i="36" s="1"/>
  <c r="R234" i="36"/>
  <c r="J235" i="36"/>
  <c r="T235" i="36" s="1"/>
  <c r="R235" i="36"/>
  <c r="J205" i="36"/>
  <c r="T205" i="36" s="1"/>
  <c r="R205" i="36"/>
  <c r="J203" i="36"/>
  <c r="T203" i="36" s="1"/>
  <c r="R203" i="36"/>
  <c r="J221" i="36"/>
  <c r="T221" i="36" s="1"/>
  <c r="R221" i="36"/>
  <c r="J224" i="36"/>
  <c r="T224" i="36" s="1"/>
  <c r="R224" i="36"/>
  <c r="J214" i="36"/>
  <c r="T214" i="36" s="1"/>
  <c r="R214" i="36"/>
  <c r="J215" i="36"/>
  <c r="T215" i="36" s="1"/>
  <c r="R215" i="36"/>
  <c r="J251" i="36"/>
  <c r="T251" i="36" s="1"/>
  <c r="R251" i="36"/>
  <c r="J236" i="36"/>
  <c r="T236" i="36" s="1"/>
  <c r="R236" i="36"/>
  <c r="J257" i="36"/>
  <c r="T257" i="36" s="1"/>
  <c r="R257" i="36"/>
  <c r="J207" i="36"/>
  <c r="T207" i="36" s="1"/>
  <c r="R207" i="36"/>
  <c r="J160" i="36"/>
  <c r="T160" i="36" s="1"/>
  <c r="R160" i="36"/>
  <c r="J199" i="36"/>
  <c r="T199" i="36" s="1"/>
  <c r="R199" i="36"/>
  <c r="J177" i="36"/>
  <c r="T177" i="36" s="1"/>
  <c r="R177" i="36"/>
  <c r="J248" i="36"/>
  <c r="T248" i="36" s="1"/>
  <c r="R248" i="36"/>
  <c r="J170" i="36"/>
  <c r="T170" i="36" s="1"/>
  <c r="R170" i="36"/>
  <c r="J237" i="36"/>
  <c r="T237" i="36" s="1"/>
  <c r="R237" i="36"/>
  <c r="J185" i="36"/>
  <c r="T185" i="36" s="1"/>
  <c r="R185" i="36"/>
  <c r="J176" i="36"/>
  <c r="T176" i="36" s="1"/>
  <c r="R176" i="36"/>
  <c r="J213" i="36"/>
  <c r="T213" i="36" s="1"/>
  <c r="R213" i="36"/>
  <c r="J53" i="36"/>
  <c r="T53" i="36" s="1"/>
  <c r="R53" i="36"/>
  <c r="J182" i="36"/>
  <c r="T182" i="36" s="1"/>
  <c r="R182" i="36"/>
  <c r="J50" i="36"/>
  <c r="T50" i="36" s="1"/>
  <c r="R50" i="36"/>
  <c r="J52" i="36"/>
  <c r="T52" i="36" s="1"/>
  <c r="R52" i="36"/>
  <c r="J241" i="36"/>
  <c r="T241" i="36" s="1"/>
  <c r="R241" i="36"/>
  <c r="J161" i="36"/>
  <c r="T161" i="36" s="1"/>
  <c r="R161" i="36"/>
  <c r="J227" i="36"/>
  <c r="T227" i="36" s="1"/>
  <c r="R227" i="36"/>
  <c r="J240" i="36"/>
  <c r="T240" i="36" s="1"/>
  <c r="R240" i="36"/>
  <c r="J217" i="36"/>
  <c r="T217" i="36" s="1"/>
  <c r="R217" i="36"/>
  <c r="J226" i="36"/>
  <c r="T226" i="36" s="1"/>
  <c r="R226" i="36"/>
  <c r="J198" i="36"/>
  <c r="T198" i="36" s="1"/>
  <c r="R198" i="36"/>
  <c r="J180" i="36"/>
  <c r="T180" i="36" s="1"/>
  <c r="R180" i="36"/>
  <c r="J225" i="36"/>
  <c r="T225" i="36" s="1"/>
  <c r="R225" i="36"/>
  <c r="J223" i="36"/>
  <c r="T223" i="36" s="1"/>
  <c r="R223" i="36"/>
  <c r="F571" i="50"/>
  <c r="K179" i="36" s="1"/>
  <c r="E179" i="36" s="1"/>
  <c r="G179" i="36" s="1"/>
  <c r="F559" i="50"/>
  <c r="K178" i="36" s="1"/>
  <c r="E178" i="36" s="1"/>
  <c r="G178" i="36" s="1"/>
  <c r="F73" i="51"/>
  <c r="K64" i="36" s="1"/>
  <c r="E64" i="36" s="1"/>
  <c r="G64" i="36" s="1"/>
  <c r="F223" i="50"/>
  <c r="K230" i="36" s="1"/>
  <c r="E230" i="36" s="1"/>
  <c r="G230" i="36" s="1"/>
  <c r="K246" i="36"/>
  <c r="E246" i="36" s="1"/>
  <c r="G246" i="36" s="1"/>
  <c r="K206" i="36"/>
  <c r="E206" i="36" s="1"/>
  <c r="G206" i="36" s="1"/>
  <c r="K244" i="36"/>
  <c r="K247" i="36"/>
  <c r="E247" i="36" s="1"/>
  <c r="G247" i="36" s="1"/>
  <c r="K245" i="36"/>
  <c r="K232" i="36"/>
  <c r="E232" i="36" s="1"/>
  <c r="G232" i="36" s="1"/>
  <c r="K204" i="36"/>
  <c r="E204" i="36" s="1"/>
  <c r="G204" i="36" s="1"/>
  <c r="F95" i="51"/>
  <c r="K159" i="36" s="1"/>
  <c r="E159" i="36" s="1"/>
  <c r="G159" i="36" s="1"/>
  <c r="F471" i="50"/>
  <c r="K216" i="36" s="1"/>
  <c r="E216" i="36" s="1"/>
  <c r="G216" i="36" s="1"/>
  <c r="J178" i="36" l="1"/>
  <c r="T178" i="36" s="1"/>
  <c r="R178" i="36"/>
  <c r="J206" i="36"/>
  <c r="T206" i="36" s="1"/>
  <c r="R206" i="36"/>
  <c r="J247" i="36"/>
  <c r="T247" i="36" s="1"/>
  <c r="R247" i="36"/>
  <c r="J246" i="36"/>
  <c r="T246" i="36" s="1"/>
  <c r="R246" i="36"/>
  <c r="J179" i="36"/>
  <c r="T179" i="36" s="1"/>
  <c r="R179" i="36"/>
  <c r="J216" i="36"/>
  <c r="T216" i="36" s="1"/>
  <c r="R216" i="36"/>
  <c r="J159" i="36"/>
  <c r="T159" i="36" s="1"/>
  <c r="R159" i="36"/>
  <c r="J230" i="36"/>
  <c r="T230" i="36" s="1"/>
  <c r="R230" i="36"/>
  <c r="J232" i="36"/>
  <c r="T232" i="36" s="1"/>
  <c r="R232" i="36"/>
  <c r="J204" i="36"/>
  <c r="T204" i="36" s="1"/>
  <c r="R204" i="36"/>
  <c r="J64" i="36"/>
  <c r="T64" i="36" s="1"/>
  <c r="R64" i="36"/>
  <c r="G132" i="49"/>
  <c r="C132" i="49" s="1"/>
  <c r="G131" i="49"/>
  <c r="C131" i="49" s="1"/>
  <c r="B12" i="49" l="1"/>
  <c r="B11" i="49"/>
  <c r="B10" i="49"/>
  <c r="B9" i="49"/>
  <c r="F7" i="49"/>
  <c r="B7" i="49"/>
  <c r="C396" i="49"/>
  <c r="E388" i="49" s="1"/>
  <c r="F388" i="49" s="1"/>
  <c r="F389" i="49" s="1"/>
  <c r="F488" i="49"/>
  <c r="F487" i="49"/>
  <c r="F486" i="49"/>
  <c r="F485" i="49"/>
  <c r="F482" i="49"/>
  <c r="F481" i="49"/>
  <c r="F474" i="49"/>
  <c r="F473" i="49"/>
  <c r="F470" i="49"/>
  <c r="F469" i="49"/>
  <c r="F462" i="49"/>
  <c r="F461" i="49"/>
  <c r="F460" i="49"/>
  <c r="F459" i="49"/>
  <c r="F458" i="49"/>
  <c r="F455" i="49"/>
  <c r="F454" i="49"/>
  <c r="F447" i="49"/>
  <c r="F446" i="49"/>
  <c r="F445" i="49"/>
  <c r="F442" i="49"/>
  <c r="F441" i="49"/>
  <c r="F434" i="49"/>
  <c r="F433" i="49"/>
  <c r="F432" i="49"/>
  <c r="F429" i="49"/>
  <c r="F428" i="49"/>
  <c r="F421" i="49"/>
  <c r="F420" i="49"/>
  <c r="F419" i="49"/>
  <c r="F418" i="49"/>
  <c r="F417" i="49"/>
  <c r="F416" i="49"/>
  <c r="F413" i="49"/>
  <c r="F412" i="49"/>
  <c r="F411" i="49"/>
  <c r="F404" i="49"/>
  <c r="F405" i="49" s="1"/>
  <c r="F401" i="49"/>
  <c r="F402" i="49" s="1"/>
  <c r="F385" i="49"/>
  <c r="F386" i="49" s="1"/>
  <c r="C380" i="49"/>
  <c r="E372" i="49" s="1"/>
  <c r="F372" i="49" s="1"/>
  <c r="F373" i="49" s="1"/>
  <c r="F369" i="49"/>
  <c r="F370" i="49" s="1"/>
  <c r="C364" i="49"/>
  <c r="E355" i="49" s="1"/>
  <c r="F355" i="49" s="1"/>
  <c r="F356" i="49" s="1"/>
  <c r="F352" i="49"/>
  <c r="F353" i="49" s="1"/>
  <c r="C347" i="49"/>
  <c r="E337" i="49" s="1"/>
  <c r="F337" i="49" s="1"/>
  <c r="F339" i="49"/>
  <c r="F338" i="49"/>
  <c r="F334" i="49"/>
  <c r="F333" i="49"/>
  <c r="F326" i="49"/>
  <c r="F325" i="49"/>
  <c r="F324" i="49"/>
  <c r="F321" i="49"/>
  <c r="F320" i="49"/>
  <c r="F313" i="49"/>
  <c r="F312" i="49"/>
  <c r="F311" i="49"/>
  <c r="F308" i="49"/>
  <c r="F307" i="49"/>
  <c r="F300" i="49"/>
  <c r="F301" i="49" s="1"/>
  <c r="F297" i="49"/>
  <c r="F296" i="49"/>
  <c r="F289" i="49"/>
  <c r="F290" i="49" s="1"/>
  <c r="F286" i="49"/>
  <c r="F285" i="49"/>
  <c r="F278" i="49"/>
  <c r="F277" i="49"/>
  <c r="F276" i="49"/>
  <c r="F275" i="49"/>
  <c r="F272" i="49"/>
  <c r="F271" i="49"/>
  <c r="F264" i="49"/>
  <c r="F263" i="49"/>
  <c r="F260" i="49"/>
  <c r="F259" i="49"/>
  <c r="F252" i="49"/>
  <c r="F251" i="49"/>
  <c r="F248" i="49"/>
  <c r="F247" i="49"/>
  <c r="F239" i="49"/>
  <c r="F238" i="49"/>
  <c r="F237" i="49"/>
  <c r="F234" i="49"/>
  <c r="F233" i="49"/>
  <c r="F226" i="49"/>
  <c r="F227" i="49" s="1"/>
  <c r="F223" i="49"/>
  <c r="F224" i="49" s="1"/>
  <c r="C218" i="49"/>
  <c r="E210" i="49" s="1"/>
  <c r="F210" i="49" s="1"/>
  <c r="F211" i="49" s="1"/>
  <c r="F208" i="49"/>
  <c r="C202" i="49"/>
  <c r="E194" i="49" s="1"/>
  <c r="F194" i="49" s="1"/>
  <c r="F195" i="49" s="1"/>
  <c r="F192" i="49"/>
  <c r="C186" i="49"/>
  <c r="E177" i="49" s="1"/>
  <c r="F177" i="49" s="1"/>
  <c r="F178" i="49"/>
  <c r="F175" i="49"/>
  <c r="C169" i="49"/>
  <c r="E161" i="49" s="1"/>
  <c r="F161" i="49" s="1"/>
  <c r="F162" i="49" s="1"/>
  <c r="F159" i="49"/>
  <c r="C153" i="49"/>
  <c r="F144" i="49"/>
  <c r="F143" i="49"/>
  <c r="F145" i="49" s="1"/>
  <c r="F140" i="49"/>
  <c r="F139" i="49"/>
  <c r="C134" i="49"/>
  <c r="E125" i="49" s="1"/>
  <c r="F125" i="49" s="1"/>
  <c r="F123" i="49"/>
  <c r="C117" i="49"/>
  <c r="E108" i="49" s="1"/>
  <c r="F108" i="49" s="1"/>
  <c r="F109" i="49"/>
  <c r="F105" i="49"/>
  <c r="F104" i="49"/>
  <c r="C99" i="49"/>
  <c r="E91" i="49" s="1"/>
  <c r="F91" i="49" s="1"/>
  <c r="F92" i="49" s="1"/>
  <c r="F89" i="49"/>
  <c r="C83" i="49"/>
  <c r="E74" i="49" s="1"/>
  <c r="F74" i="49" s="1"/>
  <c r="F73" i="49"/>
  <c r="F70" i="49"/>
  <c r="F69" i="49"/>
  <c r="F62" i="49"/>
  <c r="F61" i="49"/>
  <c r="F60" i="49"/>
  <c r="F59" i="49"/>
  <c r="F58" i="49"/>
  <c r="F57" i="49"/>
  <c r="F56" i="49"/>
  <c r="F55" i="49"/>
  <c r="F54" i="49"/>
  <c r="F53" i="49"/>
  <c r="F52" i="49"/>
  <c r="F51" i="49"/>
  <c r="F50" i="49"/>
  <c r="F49" i="49"/>
  <c r="F48" i="49"/>
  <c r="F47" i="49"/>
  <c r="F46" i="49"/>
  <c r="F43" i="49"/>
  <c r="F42" i="49"/>
  <c r="F35" i="49"/>
  <c r="F34" i="49"/>
  <c r="F33" i="49"/>
  <c r="F32" i="49"/>
  <c r="F31" i="49"/>
  <c r="F28" i="49"/>
  <c r="F27" i="49"/>
  <c r="F18" i="49"/>
  <c r="F17" i="49"/>
  <c r="F16" i="49"/>
  <c r="F163" i="49" l="1"/>
  <c r="K139" i="36" s="1"/>
  <c r="E139" i="36" s="1"/>
  <c r="G139" i="36" s="1"/>
  <c r="F249" i="49"/>
  <c r="F443" i="49"/>
  <c r="F335" i="49"/>
  <c r="F212" i="49"/>
  <c r="K141" i="36" s="1"/>
  <c r="E141" i="36" s="1"/>
  <c r="G141" i="36" s="1"/>
  <c r="F456" i="49"/>
  <c r="F287" i="49"/>
  <c r="F291" i="49" s="1"/>
  <c r="K305" i="36" s="1"/>
  <c r="E305" i="36" s="1"/>
  <c r="G305" i="36" s="1"/>
  <c r="F298" i="49"/>
  <c r="F302" i="49" s="1"/>
  <c r="K306" i="36" s="1"/>
  <c r="E306" i="36" s="1"/>
  <c r="G306" i="36" s="1"/>
  <c r="F261" i="49"/>
  <c r="F309" i="49"/>
  <c r="F489" i="49"/>
  <c r="F483" i="49"/>
  <c r="F463" i="49"/>
  <c r="F44" i="49"/>
  <c r="F36" i="49"/>
  <c r="F106" i="49"/>
  <c r="F253" i="49"/>
  <c r="F322" i="49"/>
  <c r="F475" i="49"/>
  <c r="F110" i="49"/>
  <c r="F340" i="49"/>
  <c r="F341" i="49" s="1"/>
  <c r="K120" i="36" s="1"/>
  <c r="E120" i="36" s="1"/>
  <c r="G120" i="36" s="1"/>
  <c r="F240" i="49"/>
  <c r="F265" i="49"/>
  <c r="F327" i="49"/>
  <c r="F414" i="49"/>
  <c r="F314" i="49"/>
  <c r="F315" i="49" s="1"/>
  <c r="K123" i="36" s="1"/>
  <c r="E123" i="36" s="1"/>
  <c r="G123" i="36" s="1"/>
  <c r="F430" i="49"/>
  <c r="F29" i="49"/>
  <c r="F141" i="49"/>
  <c r="F146" i="49" s="1"/>
  <c r="K403" i="36" s="1"/>
  <c r="E403" i="36" s="1"/>
  <c r="G403" i="36" s="1"/>
  <c r="F273" i="49"/>
  <c r="F471" i="49"/>
  <c r="F93" i="49"/>
  <c r="K130" i="36" s="1"/>
  <c r="E130" i="36" s="1"/>
  <c r="G130" i="36" s="1"/>
  <c r="F235" i="49"/>
  <c r="F279" i="49"/>
  <c r="F448" i="49"/>
  <c r="F449" i="49" s="1"/>
  <c r="K367" i="36" s="1"/>
  <c r="E367" i="36" s="1"/>
  <c r="G367" i="36" s="1"/>
  <c r="F63" i="49"/>
  <c r="F71" i="49"/>
  <c r="F357" i="49"/>
  <c r="K409" i="36" s="1"/>
  <c r="E409" i="36" s="1"/>
  <c r="G409" i="36" s="1"/>
  <c r="F422" i="49"/>
  <c r="F406" i="49"/>
  <c r="K416" i="36" s="1"/>
  <c r="E416" i="36" s="1"/>
  <c r="G416" i="36" s="1"/>
  <c r="F435" i="49"/>
  <c r="F19" i="49"/>
  <c r="F20" i="49" s="1"/>
  <c r="K17" i="36" s="1"/>
  <c r="F374" i="49"/>
  <c r="K410" i="36" s="1"/>
  <c r="E410" i="36" s="1"/>
  <c r="G410" i="36" s="1"/>
  <c r="F228" i="49"/>
  <c r="K106" i="36" s="1"/>
  <c r="E106" i="36" s="1"/>
  <c r="G106" i="36" s="1"/>
  <c r="F179" i="49"/>
  <c r="F180" i="49" s="1"/>
  <c r="K140" i="36" s="1"/>
  <c r="E140" i="36" s="1"/>
  <c r="G140" i="36" s="1"/>
  <c r="F75" i="49"/>
  <c r="F390" i="49"/>
  <c r="K411" i="36" s="1"/>
  <c r="E411" i="36" s="1"/>
  <c r="G411" i="36" s="1"/>
  <c r="F196" i="49"/>
  <c r="F254" i="49"/>
  <c r="K301" i="36" s="1"/>
  <c r="E301" i="36" s="1"/>
  <c r="G301" i="36" s="1"/>
  <c r="J130" i="36" l="1"/>
  <c r="T130" i="36" s="1"/>
  <c r="R130" i="36"/>
  <c r="J306" i="36"/>
  <c r="T306" i="36" s="1"/>
  <c r="R306" i="36"/>
  <c r="J305" i="36"/>
  <c r="T305" i="36" s="1"/>
  <c r="R305" i="36"/>
  <c r="J416" i="36"/>
  <c r="T416" i="36" s="1"/>
  <c r="R416" i="36"/>
  <c r="J411" i="36"/>
  <c r="T411" i="36" s="1"/>
  <c r="R411" i="36"/>
  <c r="J409" i="36"/>
  <c r="T409" i="36" s="1"/>
  <c r="R409" i="36"/>
  <c r="J139" i="36"/>
  <c r="T139" i="36" s="1"/>
  <c r="R139" i="36"/>
  <c r="J120" i="36"/>
  <c r="T120" i="36" s="1"/>
  <c r="R120" i="36"/>
  <c r="J106" i="36"/>
  <c r="T106" i="36" s="1"/>
  <c r="R106" i="36"/>
  <c r="J301" i="36"/>
  <c r="T301" i="36" s="1"/>
  <c r="R301" i="36"/>
  <c r="J403" i="36"/>
  <c r="T403" i="36" s="1"/>
  <c r="R403" i="36"/>
  <c r="J367" i="36"/>
  <c r="T367" i="36" s="1"/>
  <c r="R367" i="36"/>
  <c r="J140" i="36"/>
  <c r="T140" i="36" s="1"/>
  <c r="R140" i="36"/>
  <c r="J141" i="36"/>
  <c r="T141" i="36" s="1"/>
  <c r="R141" i="36"/>
  <c r="J410" i="36"/>
  <c r="T410" i="36" s="1"/>
  <c r="R410" i="36"/>
  <c r="G17" i="36"/>
  <c r="E17" i="36"/>
  <c r="J123" i="36"/>
  <c r="T123" i="36" s="1"/>
  <c r="R123" i="36"/>
  <c r="F423" i="49"/>
  <c r="K370" i="36" s="1"/>
  <c r="E370" i="36" s="1"/>
  <c r="G370" i="36" s="1"/>
  <c r="F266" i="49"/>
  <c r="K302" i="36" s="1"/>
  <c r="E302" i="36" s="1"/>
  <c r="G302" i="36" s="1"/>
  <c r="F464" i="49"/>
  <c r="K368" i="36" s="1"/>
  <c r="E368" i="36" s="1"/>
  <c r="G368" i="36" s="1"/>
  <c r="F328" i="49"/>
  <c r="K124" i="36" s="1"/>
  <c r="E124" i="36" s="1"/>
  <c r="G124" i="36" s="1"/>
  <c r="F436" i="49"/>
  <c r="K365" i="36" s="1"/>
  <c r="E365" i="36" s="1"/>
  <c r="G365" i="36" s="1"/>
  <c r="F64" i="49"/>
  <c r="K26" i="36" s="1"/>
  <c r="E26" i="36" s="1"/>
  <c r="G26" i="36" s="1"/>
  <c r="F37" i="49"/>
  <c r="K20" i="36" s="1"/>
  <c r="E20" i="36" s="1"/>
  <c r="G20" i="36" s="1"/>
  <c r="F111" i="49"/>
  <c r="F490" i="49"/>
  <c r="K165" i="36" s="1"/>
  <c r="E165" i="36" s="1"/>
  <c r="G165" i="36" s="1"/>
  <c r="F476" i="49"/>
  <c r="K154" i="36" s="1"/>
  <c r="E154" i="36" s="1"/>
  <c r="G154" i="36" s="1"/>
  <c r="F76" i="49"/>
  <c r="K134" i="36" s="1"/>
  <c r="E134" i="36" s="1"/>
  <c r="G134" i="36" s="1"/>
  <c r="F280" i="49"/>
  <c r="K304" i="36" s="1"/>
  <c r="E304" i="36" s="1"/>
  <c r="G304" i="36" s="1"/>
  <c r="F241" i="49"/>
  <c r="K112" i="36" s="1"/>
  <c r="E112" i="36" s="1"/>
  <c r="G112" i="36" s="1"/>
  <c r="J26" i="36" l="1"/>
  <c r="T26" i="36" s="1"/>
  <c r="R26" i="36"/>
  <c r="J112" i="36"/>
  <c r="T112" i="36" s="1"/>
  <c r="R112" i="36"/>
  <c r="J365" i="36"/>
  <c r="T365" i="36" s="1"/>
  <c r="R365" i="36"/>
  <c r="J17" i="36"/>
  <c r="T17" i="36" s="1"/>
  <c r="R17" i="36"/>
  <c r="J304" i="36"/>
  <c r="T304" i="36" s="1"/>
  <c r="R304" i="36"/>
  <c r="J124" i="36"/>
  <c r="T124" i="36" s="1"/>
  <c r="R124" i="36"/>
  <c r="J134" i="36"/>
  <c r="T134" i="36" s="1"/>
  <c r="R134" i="36"/>
  <c r="J154" i="36"/>
  <c r="T154" i="36" s="1"/>
  <c r="R154" i="36"/>
  <c r="J302" i="36"/>
  <c r="T302" i="36" s="1"/>
  <c r="R302" i="36"/>
  <c r="J20" i="36"/>
  <c r="T20" i="36" s="1"/>
  <c r="R20" i="36"/>
  <c r="J368" i="36"/>
  <c r="T368" i="36" s="1"/>
  <c r="R368" i="36"/>
  <c r="J165" i="36"/>
  <c r="T165" i="36" s="1"/>
  <c r="R165" i="36"/>
  <c r="J370" i="36"/>
  <c r="T370" i="36" s="1"/>
  <c r="R370" i="36"/>
  <c r="E126" i="49"/>
  <c r="F126" i="49" s="1"/>
  <c r="F127" i="49" s="1"/>
  <c r="F128" i="49" s="1"/>
  <c r="K128" i="36" s="1"/>
  <c r="E128" i="36" s="1"/>
  <c r="G128" i="36" s="1"/>
  <c r="K300" i="36"/>
  <c r="E300" i="36" s="1"/>
  <c r="G300" i="36" s="1"/>
  <c r="I1340" i="46"/>
  <c r="J1340" i="46" s="1"/>
  <c r="K1340" i="46" s="1"/>
  <c r="L1340" i="46" s="1"/>
  <c r="E1340" i="46"/>
  <c r="D1236" i="46"/>
  <c r="D1235" i="46"/>
  <c r="J300" i="36" l="1"/>
  <c r="T300" i="36" s="1"/>
  <c r="R300" i="36"/>
  <c r="J128" i="36"/>
  <c r="T128" i="36" s="1"/>
  <c r="R128" i="36"/>
  <c r="D1237" i="46"/>
  <c r="D196" i="46"/>
  <c r="M21" i="36" l="1"/>
  <c r="M27" i="4" l="1"/>
  <c r="B1376" i="46" l="1"/>
  <c r="D1439" i="46"/>
  <c r="K23" i="36" l="1"/>
  <c r="B31" i="47"/>
  <c r="B25" i="47"/>
  <c r="B18" i="47"/>
  <c r="B19" i="47" s="1"/>
  <c r="B17" i="47"/>
  <c r="B12" i="47"/>
  <c r="B13" i="47" s="1"/>
  <c r="B11" i="47"/>
  <c r="B9" i="47"/>
  <c r="B5" i="47"/>
  <c r="B8" i="47" s="1"/>
  <c r="B4" i="47"/>
  <c r="B6" i="47" l="1"/>
  <c r="B7" i="47"/>
  <c r="B25" i="2" l="1"/>
  <c r="B27" i="4" s="1"/>
  <c r="A25" i="2"/>
  <c r="A27" i="4" s="1"/>
  <c r="B24" i="2"/>
  <c r="A24" i="2"/>
  <c r="F19" i="45"/>
  <c r="F20" i="45"/>
  <c r="F21" i="45"/>
  <c r="F25" i="45"/>
  <c r="F26" i="45"/>
  <c r="F27" i="45"/>
  <c r="L133" i="36" l="1"/>
  <c r="J48" i="46" l="1"/>
  <c r="I1056" i="46" l="1"/>
  <c r="D1440" i="46" l="1"/>
  <c r="D1441" i="46" s="1"/>
  <c r="D1433" i="46"/>
  <c r="B1415" i="46"/>
  <c r="E1415" i="46" s="1"/>
  <c r="E1416" i="46" s="1"/>
  <c r="B1408" i="46"/>
  <c r="E1408" i="46" s="1"/>
  <c r="B1407" i="46"/>
  <c r="E1407" i="46" s="1"/>
  <c r="B1400" i="46"/>
  <c r="E1400" i="46" s="1"/>
  <c r="B1399" i="46"/>
  <c r="E1399" i="46" s="1"/>
  <c r="B1392" i="46"/>
  <c r="E1392" i="46" s="1"/>
  <c r="B1391" i="46"/>
  <c r="E1391" i="46" s="1"/>
  <c r="B1384" i="46"/>
  <c r="E1384" i="46" s="1"/>
  <c r="B1383" i="46"/>
  <c r="E1383" i="46" s="1"/>
  <c r="E1376" i="46"/>
  <c r="E1377" i="46" s="1"/>
  <c r="I1370" i="46"/>
  <c r="B1370" i="46"/>
  <c r="C1369" i="46"/>
  <c r="D1369" i="46" s="1"/>
  <c r="C1368" i="46"/>
  <c r="D1368" i="46" s="1"/>
  <c r="C1361" i="46"/>
  <c r="D1361" i="46" s="1"/>
  <c r="D1362" i="46" s="1"/>
  <c r="D1354" i="46"/>
  <c r="D1355" i="46" s="1"/>
  <c r="D1348" i="46"/>
  <c r="B1340" i="46"/>
  <c r="B1333" i="46"/>
  <c r="E1333" i="46" s="1"/>
  <c r="D1332" i="46"/>
  <c r="B1332" i="46"/>
  <c r="B1325" i="46"/>
  <c r="E1325" i="46" s="1"/>
  <c r="D1324" i="46"/>
  <c r="B1324" i="46"/>
  <c r="B1317" i="46"/>
  <c r="E1317" i="46" s="1"/>
  <c r="D1316" i="46"/>
  <c r="B1316" i="46"/>
  <c r="B1309" i="46"/>
  <c r="E1309" i="46" s="1"/>
  <c r="D1308" i="46"/>
  <c r="B1308" i="46"/>
  <c r="B1301" i="46"/>
  <c r="E1301" i="46" s="1"/>
  <c r="D1300" i="46"/>
  <c r="B1300" i="46"/>
  <c r="D1293" i="46"/>
  <c r="E1293" i="46" s="1"/>
  <c r="E1294" i="46" s="1"/>
  <c r="B1293" i="46"/>
  <c r="B1286" i="46"/>
  <c r="B1279" i="46"/>
  <c r="D1271" i="46"/>
  <c r="D1272" i="46" s="1"/>
  <c r="C1264" i="46"/>
  <c r="D1264" i="46" s="1"/>
  <c r="D1265" i="46" s="1"/>
  <c r="C1257" i="46"/>
  <c r="D1257" i="46" s="1"/>
  <c r="D1258" i="46" s="1"/>
  <c r="D1250" i="46"/>
  <c r="D1251" i="46" s="1"/>
  <c r="C1243" i="46"/>
  <c r="D1243" i="46" s="1"/>
  <c r="D1244" i="46" s="1"/>
  <c r="E1237" i="46"/>
  <c r="B1216" i="46"/>
  <c r="B1208" i="46"/>
  <c r="C1204" i="46"/>
  <c r="B1198" i="46"/>
  <c r="B1185" i="46"/>
  <c r="B1171" i="46"/>
  <c r="B1158" i="46"/>
  <c r="B1150" i="46"/>
  <c r="B1142" i="46"/>
  <c r="B1133" i="46"/>
  <c r="B1126" i="46"/>
  <c r="B1118" i="46"/>
  <c r="B1110" i="46"/>
  <c r="B1102" i="46"/>
  <c r="B1092" i="46"/>
  <c r="B1084" i="46"/>
  <c r="D1073" i="46"/>
  <c r="D1072" i="46"/>
  <c r="D1071" i="46"/>
  <c r="D1070" i="46"/>
  <c r="D1063" i="46"/>
  <c r="D1064" i="46" s="1"/>
  <c r="D1056" i="46"/>
  <c r="D1057" i="46" s="1"/>
  <c r="C1056" i="46"/>
  <c r="B1040" i="46"/>
  <c r="D1040" i="46" s="1"/>
  <c r="G1040" i="46" s="1"/>
  <c r="D1039" i="46"/>
  <c r="G1039" i="46" s="1"/>
  <c r="D1038" i="46"/>
  <c r="G1038" i="46" s="1"/>
  <c r="F1037" i="46"/>
  <c r="D1037" i="46"/>
  <c r="D1036" i="46"/>
  <c r="G1036" i="46" s="1"/>
  <c r="F1035" i="46"/>
  <c r="B1035" i="46"/>
  <c r="D1035" i="46" s="1"/>
  <c r="F1034" i="46"/>
  <c r="B1034" i="46"/>
  <c r="D1034" i="46" s="1"/>
  <c r="D1031" i="46"/>
  <c r="G1031" i="46" s="1"/>
  <c r="B1030" i="46"/>
  <c r="D1030" i="46" s="1"/>
  <c r="G1030" i="46" s="1"/>
  <c r="B1029" i="46"/>
  <c r="D1029" i="46" s="1"/>
  <c r="G1029" i="46" s="1"/>
  <c r="D1028" i="46"/>
  <c r="G1028" i="46" s="1"/>
  <c r="D1027" i="46"/>
  <c r="G1027" i="46" s="1"/>
  <c r="F1026" i="46"/>
  <c r="D1026" i="46"/>
  <c r="D1025" i="46"/>
  <c r="G1025" i="46" s="1"/>
  <c r="D1024" i="46"/>
  <c r="G1024" i="46" s="1"/>
  <c r="B1021" i="46"/>
  <c r="D1021" i="46" s="1"/>
  <c r="G1021" i="46" s="1"/>
  <c r="B1020" i="46"/>
  <c r="D1020" i="46" s="1"/>
  <c r="G1020" i="46" s="1"/>
  <c r="B1019" i="46"/>
  <c r="D1019" i="46" s="1"/>
  <c r="G1019" i="46" s="1"/>
  <c r="B1018" i="46"/>
  <c r="D1018" i="46" s="1"/>
  <c r="G1018" i="46" s="1"/>
  <c r="B1017" i="46"/>
  <c r="D1017" i="46" s="1"/>
  <c r="G1017" i="46" s="1"/>
  <c r="B1016" i="46"/>
  <c r="D1016" i="46" s="1"/>
  <c r="G1016" i="46" s="1"/>
  <c r="B1000" i="46"/>
  <c r="D1000" i="46" s="1"/>
  <c r="G1000" i="46" s="1"/>
  <c r="D999" i="46"/>
  <c r="G999" i="46" s="1"/>
  <c r="D998" i="46"/>
  <c r="G998" i="46" s="1"/>
  <c r="F997" i="46"/>
  <c r="D997" i="46"/>
  <c r="D996" i="46"/>
  <c r="G996" i="46" s="1"/>
  <c r="F995" i="46"/>
  <c r="B995" i="46"/>
  <c r="D995" i="46" s="1"/>
  <c r="F994" i="46"/>
  <c r="B994" i="46"/>
  <c r="D994" i="46" s="1"/>
  <c r="D991" i="46"/>
  <c r="G991" i="46" s="1"/>
  <c r="B990" i="46"/>
  <c r="D990" i="46" s="1"/>
  <c r="G990" i="46" s="1"/>
  <c r="B989" i="46"/>
  <c r="D989" i="46" s="1"/>
  <c r="G989" i="46" s="1"/>
  <c r="D988" i="46"/>
  <c r="G988" i="46" s="1"/>
  <c r="D987" i="46"/>
  <c r="G987" i="46" s="1"/>
  <c r="F986" i="46"/>
  <c r="D986" i="46"/>
  <c r="D985" i="46"/>
  <c r="G985" i="46" s="1"/>
  <c r="D984" i="46"/>
  <c r="G984" i="46" s="1"/>
  <c r="B981" i="46"/>
  <c r="D981" i="46" s="1"/>
  <c r="G981" i="46" s="1"/>
  <c r="B980" i="46"/>
  <c r="D980" i="46" s="1"/>
  <c r="G980" i="46" s="1"/>
  <c r="B979" i="46"/>
  <c r="D979" i="46" s="1"/>
  <c r="G979" i="46" s="1"/>
  <c r="B978" i="46"/>
  <c r="D978" i="46" s="1"/>
  <c r="G978" i="46" s="1"/>
  <c r="B977" i="46"/>
  <c r="D977" i="46" s="1"/>
  <c r="G977" i="46" s="1"/>
  <c r="B976" i="46"/>
  <c r="D976" i="46" s="1"/>
  <c r="G976" i="46" s="1"/>
  <c r="D969" i="46"/>
  <c r="D950" i="46"/>
  <c r="D930" i="46"/>
  <c r="D931" i="46" s="1"/>
  <c r="I950" i="46" s="1"/>
  <c r="C930" i="46"/>
  <c r="F901" i="46"/>
  <c r="D901" i="46"/>
  <c r="D900" i="46"/>
  <c r="G900" i="46" s="1"/>
  <c r="D899" i="46"/>
  <c r="G899" i="46" s="1"/>
  <c r="D898" i="46"/>
  <c r="G898" i="46" s="1"/>
  <c r="F897" i="46"/>
  <c r="D897" i="46"/>
  <c r="B896" i="46"/>
  <c r="D896" i="46" s="1"/>
  <c r="G896" i="46" s="1"/>
  <c r="F895" i="46"/>
  <c r="B895" i="46"/>
  <c r="D895" i="46" s="1"/>
  <c r="B894" i="46"/>
  <c r="D894" i="46" s="1"/>
  <c r="G894" i="46" s="1"/>
  <c r="F893" i="46"/>
  <c r="B893" i="46"/>
  <c r="D893" i="46" s="1"/>
  <c r="D890" i="46"/>
  <c r="G890" i="46" s="1"/>
  <c r="F889" i="46"/>
  <c r="B889" i="46"/>
  <c r="D889" i="46" s="1"/>
  <c r="D888" i="46"/>
  <c r="G888" i="46" s="1"/>
  <c r="F887" i="46"/>
  <c r="B887" i="46"/>
  <c r="D887" i="46" s="1"/>
  <c r="F886" i="46"/>
  <c r="D886" i="46"/>
  <c r="B885" i="46"/>
  <c r="D885" i="46" s="1"/>
  <c r="G885" i="46" s="1"/>
  <c r="F884" i="46"/>
  <c r="D884" i="46"/>
  <c r="D883" i="46"/>
  <c r="G883" i="46" s="1"/>
  <c r="F882" i="46"/>
  <c r="D882" i="46"/>
  <c r="B881" i="46"/>
  <c r="D881" i="46" s="1"/>
  <c r="G881" i="46" s="1"/>
  <c r="F880" i="46"/>
  <c r="B880" i="46"/>
  <c r="D880" i="46" s="1"/>
  <c r="F879" i="46"/>
  <c r="D879" i="46"/>
  <c r="B876" i="46"/>
  <c r="D876" i="46" s="1"/>
  <c r="G876" i="46" s="1"/>
  <c r="B875" i="46"/>
  <c r="D875" i="46" s="1"/>
  <c r="G875" i="46" s="1"/>
  <c r="B874" i="46"/>
  <c r="D874" i="46" s="1"/>
  <c r="G874" i="46" s="1"/>
  <c r="B873" i="46"/>
  <c r="D873" i="46" s="1"/>
  <c r="G873" i="46" s="1"/>
  <c r="B872" i="46"/>
  <c r="D872" i="46" s="1"/>
  <c r="G872" i="46" s="1"/>
  <c r="B871" i="46"/>
  <c r="D871" i="46" s="1"/>
  <c r="G871" i="46" s="1"/>
  <c r="F870" i="46"/>
  <c r="D870" i="46"/>
  <c r="D869" i="46"/>
  <c r="G869" i="46" s="1"/>
  <c r="F853" i="46"/>
  <c r="D853" i="46"/>
  <c r="D852" i="46"/>
  <c r="G852" i="46" s="1"/>
  <c r="D851" i="46"/>
  <c r="G851" i="46" s="1"/>
  <c r="D850" i="46"/>
  <c r="G850" i="46" s="1"/>
  <c r="F849" i="46"/>
  <c r="D849" i="46"/>
  <c r="B848" i="46"/>
  <c r="D848" i="46" s="1"/>
  <c r="G848" i="46" s="1"/>
  <c r="F847" i="46"/>
  <c r="B847" i="46"/>
  <c r="D847" i="46" s="1"/>
  <c r="B846" i="46"/>
  <c r="D846" i="46" s="1"/>
  <c r="G846" i="46" s="1"/>
  <c r="F845" i="46"/>
  <c r="B845" i="46"/>
  <c r="D845" i="46" s="1"/>
  <c r="D842" i="46"/>
  <c r="G842" i="46" s="1"/>
  <c r="F841" i="46"/>
  <c r="B841" i="46"/>
  <c r="D841" i="46" s="1"/>
  <c r="D840" i="46"/>
  <c r="G840" i="46" s="1"/>
  <c r="F839" i="46"/>
  <c r="B839" i="46"/>
  <c r="D839" i="46" s="1"/>
  <c r="F838" i="46"/>
  <c r="D838" i="46"/>
  <c r="B837" i="46"/>
  <c r="D837" i="46" s="1"/>
  <c r="G837" i="46" s="1"/>
  <c r="F836" i="46"/>
  <c r="D836" i="46"/>
  <c r="D835" i="46"/>
  <c r="G835" i="46" s="1"/>
  <c r="F834" i="46"/>
  <c r="D834" i="46"/>
  <c r="B833" i="46"/>
  <c r="D833" i="46" s="1"/>
  <c r="G833" i="46" s="1"/>
  <c r="F832" i="46"/>
  <c r="B832" i="46"/>
  <c r="D832" i="46" s="1"/>
  <c r="F831" i="46"/>
  <c r="D831" i="46"/>
  <c r="B828" i="46"/>
  <c r="D828" i="46" s="1"/>
  <c r="G828" i="46" s="1"/>
  <c r="B827" i="46"/>
  <c r="D827" i="46" s="1"/>
  <c r="G827" i="46" s="1"/>
  <c r="B826" i="46"/>
  <c r="D826" i="46" s="1"/>
  <c r="G826" i="46" s="1"/>
  <c r="B825" i="46"/>
  <c r="D825" i="46" s="1"/>
  <c r="G825" i="46" s="1"/>
  <c r="B824" i="46"/>
  <c r="D824" i="46" s="1"/>
  <c r="G824" i="46" s="1"/>
  <c r="B823" i="46"/>
  <c r="D823" i="46" s="1"/>
  <c r="G823" i="46" s="1"/>
  <c r="F822" i="46"/>
  <c r="D822" i="46"/>
  <c r="D821" i="46"/>
  <c r="G821" i="46" s="1"/>
  <c r="F805" i="46"/>
  <c r="D805" i="46"/>
  <c r="D804" i="46"/>
  <c r="G804" i="46" s="1"/>
  <c r="D803" i="46"/>
  <c r="G803" i="46" s="1"/>
  <c r="D802" i="46"/>
  <c r="G802" i="46" s="1"/>
  <c r="F801" i="46"/>
  <c r="D801" i="46"/>
  <c r="B800" i="46"/>
  <c r="D800" i="46" s="1"/>
  <c r="G800" i="46" s="1"/>
  <c r="F799" i="46"/>
  <c r="B799" i="46"/>
  <c r="D799" i="46" s="1"/>
  <c r="B798" i="46"/>
  <c r="D798" i="46" s="1"/>
  <c r="G798" i="46" s="1"/>
  <c r="F797" i="46"/>
  <c r="B797" i="46"/>
  <c r="D797" i="46" s="1"/>
  <c r="D794" i="46"/>
  <c r="G794" i="46" s="1"/>
  <c r="F793" i="46"/>
  <c r="B793" i="46"/>
  <c r="D793" i="46" s="1"/>
  <c r="D792" i="46"/>
  <c r="G792" i="46" s="1"/>
  <c r="F791" i="46"/>
  <c r="B791" i="46"/>
  <c r="D791" i="46" s="1"/>
  <c r="F790" i="46"/>
  <c r="D790" i="46"/>
  <c r="B789" i="46"/>
  <c r="D789" i="46" s="1"/>
  <c r="G789" i="46" s="1"/>
  <c r="F788" i="46"/>
  <c r="D788" i="46"/>
  <c r="D787" i="46"/>
  <c r="G787" i="46" s="1"/>
  <c r="F786" i="46"/>
  <c r="D786" i="46"/>
  <c r="B785" i="46"/>
  <c r="D785" i="46" s="1"/>
  <c r="G785" i="46" s="1"/>
  <c r="F784" i="46"/>
  <c r="B784" i="46"/>
  <c r="D784" i="46" s="1"/>
  <c r="F783" i="46"/>
  <c r="D783" i="46"/>
  <c r="B780" i="46"/>
  <c r="D780" i="46" s="1"/>
  <c r="G780" i="46" s="1"/>
  <c r="B779" i="46"/>
  <c r="D779" i="46" s="1"/>
  <c r="G779" i="46" s="1"/>
  <c r="B778" i="46"/>
  <c r="D778" i="46" s="1"/>
  <c r="G778" i="46" s="1"/>
  <c r="B777" i="46"/>
  <c r="D777" i="46" s="1"/>
  <c r="G777" i="46" s="1"/>
  <c r="B776" i="46"/>
  <c r="D776" i="46" s="1"/>
  <c r="G776" i="46" s="1"/>
  <c r="B775" i="46"/>
  <c r="D775" i="46" s="1"/>
  <c r="G775" i="46" s="1"/>
  <c r="F774" i="46"/>
  <c r="D774" i="46"/>
  <c r="D773" i="46"/>
  <c r="G773" i="46" s="1"/>
  <c r="D764" i="46"/>
  <c r="E764" i="46" s="1"/>
  <c r="E765" i="46" s="1"/>
  <c r="D761" i="46"/>
  <c r="E761" i="46" s="1"/>
  <c r="E762" i="46" s="1"/>
  <c r="E754" i="46"/>
  <c r="D754" i="46"/>
  <c r="E747" i="46"/>
  <c r="D747" i="46"/>
  <c r="F739" i="46"/>
  <c r="D739" i="46"/>
  <c r="F738" i="46"/>
  <c r="D738" i="46"/>
  <c r="J728" i="46"/>
  <c r="I728" i="46"/>
  <c r="E728" i="46"/>
  <c r="D731" i="46" s="1"/>
  <c r="D721" i="46"/>
  <c r="D720" i="46"/>
  <c r="D719" i="46"/>
  <c r="D712" i="46"/>
  <c r="D711" i="46"/>
  <c r="D710" i="46"/>
  <c r="D703" i="46"/>
  <c r="D704" i="46" s="1"/>
  <c r="D696" i="46"/>
  <c r="I695" i="46"/>
  <c r="D695" i="46"/>
  <c r="D694" i="46"/>
  <c r="D693" i="46"/>
  <c r="D685" i="46"/>
  <c r="I684" i="46"/>
  <c r="D684" i="46"/>
  <c r="D683" i="46"/>
  <c r="D682" i="46"/>
  <c r="D675" i="46"/>
  <c r="D657" i="46"/>
  <c r="D630" i="46"/>
  <c r="G630" i="46" s="1"/>
  <c r="F629" i="46"/>
  <c r="B629" i="46"/>
  <c r="D629" i="46" s="1"/>
  <c r="F628" i="46"/>
  <c r="B628" i="46"/>
  <c r="D628" i="46" s="1"/>
  <c r="D625" i="46"/>
  <c r="G625" i="46" s="1"/>
  <c r="D624" i="46"/>
  <c r="G624" i="46" s="1"/>
  <c r="D621" i="46"/>
  <c r="G621" i="46" s="1"/>
  <c r="D620" i="46"/>
  <c r="G620" i="46" s="1"/>
  <c r="B604" i="46"/>
  <c r="D604" i="46" s="1"/>
  <c r="G604" i="46" s="1"/>
  <c r="D603" i="46"/>
  <c r="G603" i="46" s="1"/>
  <c r="D602" i="46"/>
  <c r="G602" i="46" s="1"/>
  <c r="F601" i="46"/>
  <c r="D601" i="46"/>
  <c r="D600" i="46"/>
  <c r="G600" i="46" s="1"/>
  <c r="F599" i="46"/>
  <c r="B599" i="46"/>
  <c r="D599" i="46" s="1"/>
  <c r="F598" i="46"/>
  <c r="B598" i="46"/>
  <c r="D598" i="46" s="1"/>
  <c r="D595" i="46"/>
  <c r="G595" i="46" s="1"/>
  <c r="B594" i="46"/>
  <c r="D594" i="46" s="1"/>
  <c r="G594" i="46" s="1"/>
  <c r="B593" i="46"/>
  <c r="D593" i="46" s="1"/>
  <c r="G593" i="46" s="1"/>
  <c r="D592" i="46"/>
  <c r="G592" i="46" s="1"/>
  <c r="D591" i="46"/>
  <c r="G591" i="46" s="1"/>
  <c r="F590" i="46"/>
  <c r="D590" i="46"/>
  <c r="D589" i="46"/>
  <c r="G589" i="46" s="1"/>
  <c r="D588" i="46"/>
  <c r="G588" i="46" s="1"/>
  <c r="B585" i="46"/>
  <c r="D585" i="46" s="1"/>
  <c r="G585" i="46" s="1"/>
  <c r="B584" i="46"/>
  <c r="D584" i="46" s="1"/>
  <c r="G584" i="46" s="1"/>
  <c r="B583" i="46"/>
  <c r="D583" i="46" s="1"/>
  <c r="G583" i="46" s="1"/>
  <c r="B582" i="46"/>
  <c r="D582" i="46" s="1"/>
  <c r="G582" i="46" s="1"/>
  <c r="B581" i="46"/>
  <c r="D581" i="46" s="1"/>
  <c r="G581" i="46" s="1"/>
  <c r="B580" i="46"/>
  <c r="D580" i="46" s="1"/>
  <c r="G580" i="46" s="1"/>
  <c r="D564" i="46"/>
  <c r="G564" i="46" s="1"/>
  <c r="F563" i="46"/>
  <c r="B563" i="46"/>
  <c r="D563" i="46" s="1"/>
  <c r="F562" i="46"/>
  <c r="B562" i="46"/>
  <c r="D562" i="46" s="1"/>
  <c r="D559" i="46"/>
  <c r="G559" i="46" s="1"/>
  <c r="D558" i="46"/>
  <c r="G558" i="46" s="1"/>
  <c r="D555" i="46"/>
  <c r="G555" i="46" s="1"/>
  <c r="D554" i="46"/>
  <c r="G554" i="46" s="1"/>
  <c r="B538" i="46"/>
  <c r="D538" i="46" s="1"/>
  <c r="G538" i="46" s="1"/>
  <c r="D537" i="46"/>
  <c r="G537" i="46" s="1"/>
  <c r="D536" i="46"/>
  <c r="G536" i="46" s="1"/>
  <c r="F535" i="46"/>
  <c r="D535" i="46"/>
  <c r="D534" i="46"/>
  <c r="G534" i="46" s="1"/>
  <c r="F533" i="46"/>
  <c r="B533" i="46"/>
  <c r="D533" i="46" s="1"/>
  <c r="D532" i="46"/>
  <c r="G532" i="46" s="1"/>
  <c r="F531" i="46"/>
  <c r="B531" i="46"/>
  <c r="D531" i="46" s="1"/>
  <c r="F530" i="46"/>
  <c r="B530" i="46"/>
  <c r="D530" i="46" s="1"/>
  <c r="D527" i="46"/>
  <c r="G527" i="46" s="1"/>
  <c r="B526" i="46"/>
  <c r="D526" i="46" s="1"/>
  <c r="G526" i="46" s="1"/>
  <c r="D525" i="46"/>
  <c r="G525" i="46" s="1"/>
  <c r="B524" i="46"/>
  <c r="D524" i="46" s="1"/>
  <c r="G524" i="46" s="1"/>
  <c r="D523" i="46"/>
  <c r="G523" i="46" s="1"/>
  <c r="D522" i="46"/>
  <c r="G522" i="46" s="1"/>
  <c r="F521" i="46"/>
  <c r="D521" i="46"/>
  <c r="D520" i="46"/>
  <c r="G520" i="46" s="1"/>
  <c r="D519" i="46"/>
  <c r="G519" i="46" s="1"/>
  <c r="D518" i="46"/>
  <c r="G518" i="46" s="1"/>
  <c r="B515" i="46"/>
  <c r="D515" i="46" s="1"/>
  <c r="G515" i="46" s="1"/>
  <c r="B514" i="46"/>
  <c r="D514" i="46" s="1"/>
  <c r="G514" i="46" s="1"/>
  <c r="B513" i="46"/>
  <c r="D513" i="46" s="1"/>
  <c r="G513" i="46" s="1"/>
  <c r="B512" i="46"/>
  <c r="D512" i="46" s="1"/>
  <c r="G512" i="46" s="1"/>
  <c r="B511" i="46"/>
  <c r="D511" i="46" s="1"/>
  <c r="G511" i="46" s="1"/>
  <c r="B510" i="46"/>
  <c r="D510" i="46" s="1"/>
  <c r="G510" i="46" s="1"/>
  <c r="D509" i="46"/>
  <c r="G509" i="46" s="1"/>
  <c r="D508" i="46"/>
  <c r="G508" i="46" s="1"/>
  <c r="D494" i="46"/>
  <c r="G494" i="46" s="1"/>
  <c r="F493" i="46"/>
  <c r="D493" i="46"/>
  <c r="D492" i="46"/>
  <c r="G492" i="46" s="1"/>
  <c r="D491" i="46"/>
  <c r="G491" i="46" s="1"/>
  <c r="F488" i="46"/>
  <c r="D488" i="46"/>
  <c r="B488" i="46"/>
  <c r="F487" i="46"/>
  <c r="D487" i="46"/>
  <c r="B487" i="46"/>
  <c r="F486" i="46"/>
  <c r="D486" i="46"/>
  <c r="B485" i="46"/>
  <c r="D485" i="46" s="1"/>
  <c r="G485" i="46" s="1"/>
  <c r="F484" i="46"/>
  <c r="B484" i="46"/>
  <c r="D484" i="46" s="1"/>
  <c r="B483" i="46"/>
  <c r="D483" i="46" s="1"/>
  <c r="G483" i="46" s="1"/>
  <c r="F482" i="46"/>
  <c r="B482" i="46"/>
  <c r="D482" i="46" s="1"/>
  <c r="B481" i="46"/>
  <c r="D481" i="46" s="1"/>
  <c r="G481" i="46" s="1"/>
  <c r="F480" i="46"/>
  <c r="B480" i="46"/>
  <c r="D480" i="46" s="1"/>
  <c r="D466" i="46"/>
  <c r="G466" i="46" s="1"/>
  <c r="F465" i="46"/>
  <c r="D465" i="46"/>
  <c r="D464" i="46"/>
  <c r="G464" i="46" s="1"/>
  <c r="D463" i="46"/>
  <c r="G463" i="46" s="1"/>
  <c r="F460" i="46"/>
  <c r="D460" i="46"/>
  <c r="B460" i="46"/>
  <c r="F459" i="46"/>
  <c r="D459" i="46"/>
  <c r="B459" i="46"/>
  <c r="F458" i="46"/>
  <c r="D458" i="46"/>
  <c r="B457" i="46"/>
  <c r="D457" i="46" s="1"/>
  <c r="G457" i="46" s="1"/>
  <c r="F456" i="46"/>
  <c r="B456" i="46"/>
  <c r="D456" i="46" s="1"/>
  <c r="B455" i="46"/>
  <c r="D455" i="46" s="1"/>
  <c r="G455" i="46" s="1"/>
  <c r="F454" i="46"/>
  <c r="B454" i="46"/>
  <c r="D454" i="46" s="1"/>
  <c r="B453" i="46"/>
  <c r="D453" i="46" s="1"/>
  <c r="G453" i="46" s="1"/>
  <c r="F452" i="46"/>
  <c r="B452" i="46"/>
  <c r="D452" i="46" s="1"/>
  <c r="F436" i="46"/>
  <c r="D436" i="46"/>
  <c r="D435" i="46"/>
  <c r="G435" i="46" s="1"/>
  <c r="D434" i="46"/>
  <c r="G434" i="46" s="1"/>
  <c r="D433" i="46"/>
  <c r="G433" i="46" s="1"/>
  <c r="F432" i="46"/>
  <c r="D432" i="46"/>
  <c r="B431" i="46"/>
  <c r="D431" i="46" s="1"/>
  <c r="G431" i="46" s="1"/>
  <c r="F430" i="46"/>
  <c r="B430" i="46"/>
  <c r="D430" i="46" s="1"/>
  <c r="B429" i="46"/>
  <c r="D429" i="46" s="1"/>
  <c r="G429" i="46" s="1"/>
  <c r="F428" i="46"/>
  <c r="B428" i="46"/>
  <c r="D428" i="46" s="1"/>
  <c r="D425" i="46"/>
  <c r="G425" i="46" s="1"/>
  <c r="F424" i="46"/>
  <c r="B424" i="46"/>
  <c r="D424" i="46" s="1"/>
  <c r="D423" i="46"/>
  <c r="G423" i="46" s="1"/>
  <c r="F422" i="46"/>
  <c r="B422" i="46"/>
  <c r="D422" i="46" s="1"/>
  <c r="F421" i="46"/>
  <c r="D421" i="46"/>
  <c r="B420" i="46"/>
  <c r="D420" i="46" s="1"/>
  <c r="G420" i="46" s="1"/>
  <c r="F419" i="46"/>
  <c r="D419" i="46"/>
  <c r="D418" i="46"/>
  <c r="G418" i="46" s="1"/>
  <c r="F417" i="46"/>
  <c r="D417" i="46"/>
  <c r="B416" i="46"/>
  <c r="D416" i="46" s="1"/>
  <c r="G416" i="46" s="1"/>
  <c r="F415" i="46"/>
  <c r="B415" i="46"/>
  <c r="D415" i="46" s="1"/>
  <c r="F414" i="46"/>
  <c r="D414" i="46"/>
  <c r="B411" i="46"/>
  <c r="D411" i="46" s="1"/>
  <c r="G411" i="46" s="1"/>
  <c r="B410" i="46"/>
  <c r="D410" i="46" s="1"/>
  <c r="G410" i="46" s="1"/>
  <c r="F409" i="46"/>
  <c r="B409" i="46"/>
  <c r="D409" i="46" s="1"/>
  <c r="F408" i="46"/>
  <c r="B408" i="46"/>
  <c r="D408" i="46" s="1"/>
  <c r="B407" i="46"/>
  <c r="D407" i="46" s="1"/>
  <c r="G407" i="46" s="1"/>
  <c r="B406" i="46"/>
  <c r="D406" i="46" s="1"/>
  <c r="G406" i="46" s="1"/>
  <c r="F405" i="46"/>
  <c r="D405" i="46"/>
  <c r="D404" i="46"/>
  <c r="G404" i="46" s="1"/>
  <c r="F388" i="46"/>
  <c r="D388" i="46"/>
  <c r="D387" i="46"/>
  <c r="G387" i="46" s="1"/>
  <c r="D386" i="46"/>
  <c r="G386" i="46" s="1"/>
  <c r="D385" i="46"/>
  <c r="G385" i="46" s="1"/>
  <c r="F384" i="46"/>
  <c r="D384" i="46"/>
  <c r="B383" i="46"/>
  <c r="D383" i="46" s="1"/>
  <c r="G383" i="46" s="1"/>
  <c r="F382" i="46"/>
  <c r="B382" i="46"/>
  <c r="D382" i="46" s="1"/>
  <c r="B381" i="46"/>
  <c r="D381" i="46" s="1"/>
  <c r="G381" i="46" s="1"/>
  <c r="F380" i="46"/>
  <c r="B380" i="46"/>
  <c r="D380" i="46" s="1"/>
  <c r="D377" i="46"/>
  <c r="G377" i="46" s="1"/>
  <c r="F376" i="46"/>
  <c r="B376" i="46"/>
  <c r="D376" i="46" s="1"/>
  <c r="D375" i="46"/>
  <c r="G375" i="46" s="1"/>
  <c r="F374" i="46"/>
  <c r="B374" i="46"/>
  <c r="D374" i="46" s="1"/>
  <c r="F373" i="46"/>
  <c r="D373" i="46"/>
  <c r="B372" i="46"/>
  <c r="D372" i="46" s="1"/>
  <c r="G372" i="46" s="1"/>
  <c r="F371" i="46"/>
  <c r="D371" i="46"/>
  <c r="D370" i="46"/>
  <c r="G370" i="46" s="1"/>
  <c r="F369" i="46"/>
  <c r="D369" i="46"/>
  <c r="B368" i="46"/>
  <c r="D368" i="46" s="1"/>
  <c r="G368" i="46" s="1"/>
  <c r="F367" i="46"/>
  <c r="B367" i="46"/>
  <c r="D367" i="46" s="1"/>
  <c r="F366" i="46"/>
  <c r="D366" i="46"/>
  <c r="B363" i="46"/>
  <c r="D363" i="46" s="1"/>
  <c r="G363" i="46" s="1"/>
  <c r="B362" i="46"/>
  <c r="D362" i="46" s="1"/>
  <c r="G362" i="46" s="1"/>
  <c r="F361" i="46"/>
  <c r="B361" i="46"/>
  <c r="D361" i="46" s="1"/>
  <c r="F360" i="46"/>
  <c r="B360" i="46"/>
  <c r="D360" i="46" s="1"/>
  <c r="B359" i="46"/>
  <c r="D359" i="46" s="1"/>
  <c r="G359" i="46" s="1"/>
  <c r="B358" i="46"/>
  <c r="D358" i="46" s="1"/>
  <c r="G358" i="46" s="1"/>
  <c r="F357" i="46"/>
  <c r="D357" i="46"/>
  <c r="D356" i="46"/>
  <c r="G356" i="46" s="1"/>
  <c r="E335" i="46"/>
  <c r="E334" i="46"/>
  <c r="E333" i="46"/>
  <c r="B327" i="46"/>
  <c r="D327" i="46" s="1"/>
  <c r="E320" i="46"/>
  <c r="E319" i="46"/>
  <c r="E318" i="46"/>
  <c r="E317" i="46"/>
  <c r="D310" i="46"/>
  <c r="F310" i="46" s="1"/>
  <c r="G311" i="46" s="1"/>
  <c r="D303" i="46"/>
  <c r="F303" i="46" s="1"/>
  <c r="G304" i="46" s="1"/>
  <c r="D296" i="46"/>
  <c r="F296" i="46" s="1"/>
  <c r="G297" i="46" s="1"/>
  <c r="D289" i="46"/>
  <c r="F289" i="46" s="1"/>
  <c r="G290" i="46" s="1"/>
  <c r="D282" i="46"/>
  <c r="F282" i="46" s="1"/>
  <c r="G283" i="46" s="1"/>
  <c r="D275" i="46"/>
  <c r="F275" i="46" s="1"/>
  <c r="G276" i="46" s="1"/>
  <c r="D268" i="46"/>
  <c r="F268" i="46" s="1"/>
  <c r="G269" i="46" s="1"/>
  <c r="D261" i="46"/>
  <c r="F261" i="46" s="1"/>
  <c r="G262" i="46" s="1"/>
  <c r="D254" i="46"/>
  <c r="F254" i="46" s="1"/>
  <c r="G255" i="46" s="1"/>
  <c r="D247" i="46"/>
  <c r="F247" i="46" s="1"/>
  <c r="G248" i="46" s="1"/>
  <c r="D240" i="46"/>
  <c r="F240" i="46" s="1"/>
  <c r="G241" i="46" s="1"/>
  <c r="D233" i="46"/>
  <c r="F233" i="46" s="1"/>
  <c r="G234" i="46" s="1"/>
  <c r="D226" i="46"/>
  <c r="F226" i="46" s="1"/>
  <c r="G227" i="46" s="1"/>
  <c r="D219" i="46"/>
  <c r="F219" i="46" s="1"/>
  <c r="G220" i="46" s="1"/>
  <c r="C188" i="46"/>
  <c r="D174" i="46"/>
  <c r="D173" i="46"/>
  <c r="D172" i="46"/>
  <c r="D171" i="46"/>
  <c r="D164" i="46"/>
  <c r="D163" i="46"/>
  <c r="D162" i="46"/>
  <c r="D161" i="46"/>
  <c r="D160" i="46"/>
  <c r="D159" i="46"/>
  <c r="D158" i="46"/>
  <c r="D151" i="46"/>
  <c r="D150" i="46"/>
  <c r="D149" i="46"/>
  <c r="D148" i="46"/>
  <c r="D138" i="46"/>
  <c r="D142" i="46" s="1"/>
  <c r="F122" i="46"/>
  <c r="D122" i="46"/>
  <c r="F121" i="46"/>
  <c r="D121" i="46"/>
  <c r="F120" i="46"/>
  <c r="D120" i="46"/>
  <c r="F119" i="46"/>
  <c r="D119" i="46"/>
  <c r="B117" i="46"/>
  <c r="D117" i="46" s="1"/>
  <c r="G117" i="46" s="1"/>
  <c r="B116" i="46"/>
  <c r="D116" i="46" s="1"/>
  <c r="G116" i="46" s="1"/>
  <c r="B115" i="46"/>
  <c r="D115" i="46" s="1"/>
  <c r="G115" i="46" s="1"/>
  <c r="D114" i="46"/>
  <c r="G114" i="46" s="1"/>
  <c r="B113" i="46"/>
  <c r="D113" i="46" s="1"/>
  <c r="G113" i="46" s="1"/>
  <c r="D111" i="46"/>
  <c r="G111" i="46" s="1"/>
  <c r="B110" i="46"/>
  <c r="D110" i="46" s="1"/>
  <c r="G110" i="46" s="1"/>
  <c r="B109" i="46"/>
  <c r="D109" i="46" s="1"/>
  <c r="G109" i="46" s="1"/>
  <c r="F107" i="46"/>
  <c r="D107" i="46"/>
  <c r="F106" i="46"/>
  <c r="D106" i="46"/>
  <c r="F105" i="46"/>
  <c r="D105" i="46"/>
  <c r="F104" i="46"/>
  <c r="D104" i="46"/>
  <c r="F103" i="46"/>
  <c r="D103" i="46"/>
  <c r="F102" i="46"/>
  <c r="D102" i="46"/>
  <c r="F101" i="46"/>
  <c r="D101" i="46"/>
  <c r="F100" i="46"/>
  <c r="D100" i="46"/>
  <c r="F99" i="46"/>
  <c r="B99" i="46"/>
  <c r="D99" i="46" s="1"/>
  <c r="F98" i="46"/>
  <c r="D98" i="46"/>
  <c r="D70" i="46"/>
  <c r="D71" i="46" s="1"/>
  <c r="B50" i="46"/>
  <c r="D35" i="46"/>
  <c r="D34" i="46"/>
  <c r="D33" i="46"/>
  <c r="D32" i="46"/>
  <c r="B25" i="46"/>
  <c r="D25" i="46" s="1"/>
  <c r="D26" i="46" s="1"/>
  <c r="C18" i="46"/>
  <c r="C19" i="46" s="1"/>
  <c r="E1341" i="46" l="1"/>
  <c r="G832" i="46"/>
  <c r="G801" i="46"/>
  <c r="G774" i="46"/>
  <c r="G788" i="46"/>
  <c r="G839" i="46"/>
  <c r="G369" i="46"/>
  <c r="G374" i="46"/>
  <c r="G384" i="46"/>
  <c r="G415" i="46"/>
  <c r="G484" i="46"/>
  <c r="G409" i="46"/>
  <c r="G122" i="46"/>
  <c r="G357" i="46"/>
  <c r="G870" i="46"/>
  <c r="G905" i="46" s="1"/>
  <c r="G1034" i="46"/>
  <c r="G428" i="46"/>
  <c r="G628" i="46"/>
  <c r="G790" i="46"/>
  <c r="G521" i="46"/>
  <c r="G879" i="46"/>
  <c r="G99" i="46"/>
  <c r="G101" i="46"/>
  <c r="G103" i="46"/>
  <c r="G107" i="46"/>
  <c r="G460" i="46"/>
  <c r="G486" i="46"/>
  <c r="G598" i="46"/>
  <c r="G493" i="46"/>
  <c r="G500" i="46" s="1"/>
  <c r="G599" i="46"/>
  <c r="G901" i="46"/>
  <c r="D152" i="46"/>
  <c r="I152" i="46" s="1"/>
  <c r="D165" i="46"/>
  <c r="I165" i="46" s="1"/>
  <c r="G422" i="46"/>
  <c r="G424" i="46"/>
  <c r="G531" i="46"/>
  <c r="G568" i="46"/>
  <c r="G562" i="46"/>
  <c r="G601" i="46"/>
  <c r="G739" i="46"/>
  <c r="G786" i="46"/>
  <c r="G799" i="46"/>
  <c r="G886" i="46"/>
  <c r="G102" i="46"/>
  <c r="G436" i="46"/>
  <c r="G487" i="46"/>
  <c r="G590" i="46"/>
  <c r="G610" i="46" s="1"/>
  <c r="G738" i="46"/>
  <c r="G740" i="46" s="1"/>
  <c r="G880" i="46"/>
  <c r="G1026" i="46"/>
  <c r="G1046" i="46" s="1"/>
  <c r="G371" i="46"/>
  <c r="F754" i="46"/>
  <c r="F755" i="46" s="1"/>
  <c r="G797" i="46"/>
  <c r="G822" i="46"/>
  <c r="G857" i="46" s="1"/>
  <c r="G838" i="46"/>
  <c r="G847" i="46"/>
  <c r="G849" i="46"/>
  <c r="G853" i="46"/>
  <c r="G986" i="46"/>
  <c r="G1006" i="46" s="1"/>
  <c r="G997" i="46"/>
  <c r="E1300" i="46"/>
  <c r="G419" i="46"/>
  <c r="G421" i="46"/>
  <c r="G459" i="46"/>
  <c r="G482" i="46"/>
  <c r="G530" i="46"/>
  <c r="G535" i="46"/>
  <c r="G783" i="46"/>
  <c r="G836" i="46"/>
  <c r="G845" i="46"/>
  <c r="G884" i="46"/>
  <c r="G889" i="46"/>
  <c r="G1035" i="46"/>
  <c r="G1037" i="46"/>
  <c r="G98" i="46"/>
  <c r="G100" i="46"/>
  <c r="G366" i="46"/>
  <c r="G405" i="46"/>
  <c r="G408" i="46"/>
  <c r="G417" i="46"/>
  <c r="G454" i="46"/>
  <c r="G456" i="46"/>
  <c r="G458" i="46"/>
  <c r="G488" i="46"/>
  <c r="G533" i="46"/>
  <c r="G791" i="46"/>
  <c r="G841" i="46"/>
  <c r="G882" i="46"/>
  <c r="G897" i="46"/>
  <c r="I117" i="46"/>
  <c r="G414" i="46"/>
  <c r="E336" i="46"/>
  <c r="G367" i="46"/>
  <c r="G388" i="46"/>
  <c r="G465" i="46"/>
  <c r="G472" i="46" s="1"/>
  <c r="G480" i="46"/>
  <c r="G634" i="46"/>
  <c r="G636" i="46"/>
  <c r="D687" i="46"/>
  <c r="D697" i="46"/>
  <c r="G784" i="46"/>
  <c r="G104" i="46"/>
  <c r="G106" i="46"/>
  <c r="G129" i="46"/>
  <c r="G119" i="46"/>
  <c r="I262" i="46"/>
  <c r="G382" i="46"/>
  <c r="G452" i="46"/>
  <c r="G629" i="46"/>
  <c r="G638" i="46" s="1"/>
  <c r="E1302" i="46"/>
  <c r="E1401" i="46"/>
  <c r="G834" i="46"/>
  <c r="D1370" i="46"/>
  <c r="D36" i="46"/>
  <c r="I149" i="46"/>
  <c r="E321" i="46"/>
  <c r="D722" i="46"/>
  <c r="F747" i="46"/>
  <c r="F748" i="46" s="1"/>
  <c r="G809" i="46"/>
  <c r="G805" i="46"/>
  <c r="G995" i="46"/>
  <c r="G120" i="46"/>
  <c r="G361" i="46"/>
  <c r="G373" i="46"/>
  <c r="G380" i="46"/>
  <c r="G432" i="46"/>
  <c r="G570" i="46"/>
  <c r="G563" i="46"/>
  <c r="D713" i="46"/>
  <c r="G793" i="46"/>
  <c r="G831" i="46"/>
  <c r="G887" i="46"/>
  <c r="G893" i="46"/>
  <c r="G895" i="46"/>
  <c r="G994" i="46"/>
  <c r="D1074" i="46"/>
  <c r="E1308" i="46"/>
  <c r="E1310" i="46" s="1"/>
  <c r="E1316" i="46"/>
  <c r="E1318" i="46" s="1"/>
  <c r="E1324" i="46"/>
  <c r="E1326" i="46" s="1"/>
  <c r="E1332" i="46"/>
  <c r="E1334" i="46" s="1"/>
  <c r="E1409" i="46"/>
  <c r="I311" i="46"/>
  <c r="G105" i="46"/>
  <c r="G376" i="46"/>
  <c r="G544" i="46"/>
  <c r="G127" i="46"/>
  <c r="I111" i="46"/>
  <c r="G121" i="46"/>
  <c r="D175" i="46"/>
  <c r="I175" i="46" s="1"/>
  <c r="G360" i="46"/>
  <c r="G430" i="46"/>
  <c r="G542" i="46"/>
  <c r="G608" i="46"/>
  <c r="G1004" i="46"/>
  <c r="G1044" i="46"/>
  <c r="E1385" i="46"/>
  <c r="E1393" i="46"/>
  <c r="G572" i="46" l="1"/>
  <c r="G573" i="46" s="1"/>
  <c r="G440" i="46"/>
  <c r="G612" i="46"/>
  <c r="G613" i="46" s="1"/>
  <c r="G470" i="46"/>
  <c r="G473" i="46" s="1"/>
  <c r="G1048" i="46"/>
  <c r="G1049" i="46" s="1"/>
  <c r="G546" i="46"/>
  <c r="G547" i="46" s="1"/>
  <c r="G811" i="46"/>
  <c r="G909" i="46"/>
  <c r="G442" i="46"/>
  <c r="G907" i="46"/>
  <c r="G498" i="46"/>
  <c r="G501" i="46" s="1"/>
  <c r="G394" i="46"/>
  <c r="G392" i="46"/>
  <c r="G813" i="46"/>
  <c r="G131" i="46"/>
  <c r="G859" i="46"/>
  <c r="G861" i="46"/>
  <c r="G444" i="46"/>
  <c r="I107" i="46"/>
  <c r="G396" i="46"/>
  <c r="G639" i="46"/>
  <c r="G1008" i="46"/>
  <c r="G1009" i="46" s="1"/>
  <c r="I122" i="46"/>
  <c r="G125" i="46"/>
  <c r="G814" i="46" l="1"/>
  <c r="G910" i="46"/>
  <c r="G445" i="46"/>
  <c r="G397" i="46"/>
  <c r="G132" i="46"/>
  <c r="G862" i="46"/>
  <c r="F223" i="29" l="1"/>
  <c r="F209" i="29"/>
  <c r="F210" i="29"/>
  <c r="F211" i="29"/>
  <c r="F208" i="29"/>
  <c r="F205" i="29"/>
  <c r="F204" i="29"/>
  <c r="F197" i="29"/>
  <c r="F196" i="29"/>
  <c r="F193" i="29"/>
  <c r="F192" i="29"/>
  <c r="F185" i="29"/>
  <c r="F184" i="29"/>
  <c r="F183" i="29"/>
  <c r="F182" i="29"/>
  <c r="F181" i="29"/>
  <c r="F180" i="29"/>
  <c r="F177" i="29"/>
  <c r="F176" i="29"/>
  <c r="F212" i="29" l="1"/>
  <c r="F206" i="29"/>
  <c r="F194" i="29"/>
  <c r="F198" i="29"/>
  <c r="F178" i="29"/>
  <c r="F186" i="29"/>
  <c r="F199" i="29" l="1"/>
  <c r="K318" i="36" s="1"/>
  <c r="E318" i="36" s="1"/>
  <c r="G318" i="36" s="1"/>
  <c r="F213" i="29"/>
  <c r="K319" i="36" s="1"/>
  <c r="E319" i="36" s="1"/>
  <c r="G319" i="36" s="1"/>
  <c r="F187" i="29"/>
  <c r="K311" i="36" s="1"/>
  <c r="E311" i="36" s="1"/>
  <c r="G311" i="36" s="1"/>
  <c r="J319" i="36" l="1"/>
  <c r="T319" i="36" s="1"/>
  <c r="R319" i="36"/>
  <c r="J318" i="36"/>
  <c r="T318" i="36" s="1"/>
  <c r="R318" i="36"/>
  <c r="J311" i="36"/>
  <c r="T311" i="36" s="1"/>
  <c r="R311" i="36"/>
  <c r="K353" i="36"/>
  <c r="F24" i="45" l="1"/>
  <c r="F28" i="45" s="1"/>
  <c r="F18" i="45"/>
  <c r="B12" i="45"/>
  <c r="B11" i="45"/>
  <c r="B10" i="45"/>
  <c r="B9" i="45"/>
  <c r="F8" i="45"/>
  <c r="B8" i="45"/>
  <c r="G35" i="44"/>
  <c r="G34" i="44"/>
  <c r="B29" i="44"/>
  <c r="B33" i="44" s="1"/>
  <c r="B27" i="44"/>
  <c r="G39" i="44" s="1"/>
  <c r="G22" i="44"/>
  <c r="B21" i="44"/>
  <c r="G16" i="44"/>
  <c r="B10" i="44"/>
  <c r="B9" i="44"/>
  <c r="B7" i="44"/>
  <c r="G28" i="44" l="1"/>
  <c r="B11" i="44"/>
  <c r="B18" i="44" s="1"/>
  <c r="G31" i="44"/>
  <c r="G38" i="44" s="1"/>
  <c r="F22" i="45"/>
  <c r="G15" i="44"/>
  <c r="B8" i="44"/>
  <c r="G27" i="44"/>
  <c r="G29" i="44"/>
  <c r="G23" i="44"/>
  <c r="B28" i="44"/>
  <c r="G30" i="44"/>
  <c r="G33" i="44"/>
  <c r="G14" i="44" l="1"/>
  <c r="B15" i="44"/>
  <c r="G37" i="44"/>
  <c r="G32" i="44"/>
  <c r="F29" i="45"/>
  <c r="K361" i="36" s="1"/>
  <c r="E361" i="36" s="1"/>
  <c r="G361" i="36" s="1"/>
  <c r="G13" i="44"/>
  <c r="B17" i="44"/>
  <c r="G12" i="44"/>
  <c r="B14" i="44"/>
  <c r="J361" i="36" l="1"/>
  <c r="T361" i="36" s="1"/>
  <c r="R361" i="36"/>
  <c r="G18" i="44"/>
  <c r="G10" i="44"/>
  <c r="G8" i="44"/>
  <c r="G11" i="44"/>
  <c r="G7" i="44"/>
  <c r="G21" i="44"/>
  <c r="G9" i="44"/>
  <c r="G20" i="44" l="1"/>
  <c r="F142" i="29"/>
  <c r="F143" i="29"/>
  <c r="F133" i="29" l="1"/>
  <c r="F132" i="29"/>
  <c r="F131" i="29"/>
  <c r="F130" i="29"/>
  <c r="F127" i="29"/>
  <c r="F126" i="29"/>
  <c r="F8" i="29"/>
  <c r="B12" i="29"/>
  <c r="B11" i="29"/>
  <c r="B10" i="29"/>
  <c r="B9" i="29"/>
  <c r="B8" i="29"/>
  <c r="F134" i="29" l="1"/>
  <c r="F128" i="29"/>
  <c r="F135" i="29" l="1"/>
  <c r="K282" i="36" s="1"/>
  <c r="E282" i="36" s="1"/>
  <c r="G282" i="36" s="1"/>
  <c r="J282" i="36" l="1"/>
  <c r="T282" i="36" s="1"/>
  <c r="R282" i="36"/>
  <c r="L93" i="36"/>
  <c r="M18" i="4"/>
  <c r="M19" i="4"/>
  <c r="M20" i="4"/>
  <c r="M21" i="4"/>
  <c r="M22" i="4"/>
  <c r="M23" i="4"/>
  <c r="M24" i="4"/>
  <c r="M25" i="4"/>
  <c r="M26" i="4"/>
  <c r="M28" i="4"/>
  <c r="M29" i="4"/>
  <c r="M30" i="4"/>
  <c r="M31" i="4"/>
  <c r="M32" i="4"/>
  <c r="M33" i="4"/>
  <c r="M34" i="4"/>
  <c r="M35" i="4"/>
  <c r="M36" i="4"/>
  <c r="M37" i="4"/>
  <c r="M38" i="4"/>
  <c r="M39" i="4"/>
  <c r="M17" i="4"/>
  <c r="B37" i="2"/>
  <c r="A37" i="2"/>
  <c r="B36" i="2"/>
  <c r="A36" i="2"/>
  <c r="B35" i="2"/>
  <c r="A35" i="2"/>
  <c r="B30" i="2"/>
  <c r="B32" i="4" s="1"/>
  <c r="A30" i="2"/>
  <c r="A32" i="4" s="1"/>
  <c r="B28" i="2"/>
  <c r="B30" i="4" s="1"/>
  <c r="A28" i="2"/>
  <c r="A30" i="4" s="1"/>
  <c r="B27" i="2"/>
  <c r="A27" i="2"/>
  <c r="B26" i="4"/>
  <c r="A26" i="4"/>
  <c r="B20" i="2"/>
  <c r="B22" i="4" s="1"/>
  <c r="A20" i="2"/>
  <c r="A22" i="4" s="1"/>
  <c r="D401" i="36"/>
  <c r="I2509" i="52" s="1"/>
  <c r="J258" i="36" l="1"/>
  <c r="T258" i="36" s="1"/>
  <c r="D28" i="2" l="1"/>
  <c r="J138" i="36" l="1"/>
  <c r="T138" i="36" s="1"/>
  <c r="I138" i="36"/>
  <c r="S138" i="36" s="1"/>
  <c r="B81" i="42" l="1"/>
  <c r="B79" i="42"/>
  <c r="B66" i="42"/>
  <c r="B61" i="42"/>
  <c r="B59" i="42"/>
  <c r="B58" i="42"/>
  <c r="B57" i="42"/>
  <c r="B56" i="42"/>
  <c r="B54" i="42"/>
  <c r="B55" i="42" s="1"/>
  <c r="B53" i="42"/>
  <c r="B51" i="42"/>
  <c r="B50" i="42"/>
  <c r="B49" i="42"/>
  <c r="B48" i="42"/>
  <c r="B46" i="42"/>
  <c r="B47" i="42" s="1"/>
  <c r="B45" i="42"/>
  <c r="B43" i="42"/>
  <c r="B38" i="42"/>
  <c r="B30" i="42"/>
  <c r="B26" i="42"/>
  <c r="B25" i="42"/>
  <c r="B24" i="42"/>
  <c r="B23" i="42"/>
  <c r="B22" i="42"/>
  <c r="B21" i="42"/>
  <c r="B5" i="42" s="1"/>
  <c r="B20" i="42"/>
  <c r="B18" i="42"/>
  <c r="B17" i="42"/>
  <c r="B16" i="42"/>
  <c r="B15" i="42"/>
  <c r="B13" i="42"/>
  <c r="B14" i="42" s="1"/>
  <c r="B12" i="42"/>
  <c r="B10" i="42"/>
  <c r="B8" i="42"/>
  <c r="B4" i="42"/>
  <c r="B9" i="42" l="1"/>
  <c r="B6" i="42"/>
  <c r="B7" i="42"/>
  <c r="J63" i="36" l="1"/>
  <c r="T63" i="36" s="1"/>
  <c r="I63" i="36"/>
  <c r="S63" i="36" s="1"/>
  <c r="J291" i="36" l="1"/>
  <c r="T291" i="36" s="1"/>
  <c r="I291" i="36"/>
  <c r="S291" i="36" s="1"/>
  <c r="J250" i="36"/>
  <c r="T250" i="36" s="1"/>
  <c r="I250" i="36"/>
  <c r="S250" i="36" s="1"/>
  <c r="J220" i="36"/>
  <c r="T220" i="36" s="1"/>
  <c r="I220" i="36"/>
  <c r="S220" i="36" s="1"/>
  <c r="J168" i="36"/>
  <c r="T168" i="36" s="1"/>
  <c r="I168" i="36"/>
  <c r="S168" i="36" s="1"/>
  <c r="J150" i="36"/>
  <c r="T150" i="36" s="1"/>
  <c r="I150" i="36"/>
  <c r="S150" i="36" s="1"/>
  <c r="J144" i="36"/>
  <c r="T144" i="36" s="1"/>
  <c r="I144" i="36"/>
  <c r="S144" i="36" s="1"/>
  <c r="J131" i="36"/>
  <c r="T131" i="36" s="1"/>
  <c r="I131" i="36"/>
  <c r="S131" i="36" s="1"/>
  <c r="J127" i="36"/>
  <c r="T127" i="36" s="1"/>
  <c r="I127" i="36"/>
  <c r="S127" i="36" s="1"/>
  <c r="J164" i="36"/>
  <c r="T164" i="36" s="1"/>
  <c r="I164" i="36"/>
  <c r="S164" i="36" s="1"/>
  <c r="I158" i="36"/>
  <c r="S158" i="36" s="1"/>
  <c r="J156" i="36" l="1"/>
  <c r="T156" i="36" s="1"/>
  <c r="J249" i="36"/>
  <c r="T249" i="36" s="1"/>
  <c r="C30" i="4"/>
  <c r="K30" i="4" s="1"/>
  <c r="J88" i="36"/>
  <c r="T88" i="36" s="1"/>
  <c r="I88" i="36"/>
  <c r="S88" i="36" s="1"/>
  <c r="D27" i="2" l="1"/>
  <c r="J424" i="36"/>
  <c r="T424" i="36" s="1"/>
  <c r="I30" i="4"/>
  <c r="G30" i="4"/>
  <c r="E30" i="4"/>
  <c r="J166" i="36"/>
  <c r="T166" i="36" s="1"/>
  <c r="D36" i="2" l="1"/>
  <c r="D25" i="2"/>
  <c r="C27" i="4" s="1"/>
  <c r="K27" i="4" s="1"/>
  <c r="I27" i="4" l="1"/>
  <c r="B11" i="2" l="1"/>
  <c r="B10" i="2"/>
  <c r="E10" i="2"/>
  <c r="M9" i="4" s="1"/>
  <c r="D10" i="2"/>
  <c r="L9" i="4" s="1"/>
  <c r="E9" i="2"/>
  <c r="D9" i="2"/>
  <c r="L10" i="4" s="1"/>
  <c r="E8" i="2"/>
  <c r="D8" i="2"/>
  <c r="B39" i="4"/>
  <c r="A39" i="4"/>
  <c r="B38" i="4"/>
  <c r="A38" i="4"/>
  <c r="B34" i="2"/>
  <c r="A34" i="2"/>
  <c r="B33" i="2"/>
  <c r="B35" i="4" s="1"/>
  <c r="A33" i="2"/>
  <c r="A35" i="4" s="1"/>
  <c r="B32" i="2"/>
  <c r="B34" i="4" s="1"/>
  <c r="A32" i="2"/>
  <c r="A34" i="4" s="1"/>
  <c r="B31" i="2"/>
  <c r="B33" i="4" s="1"/>
  <c r="A31" i="2"/>
  <c r="A33" i="4" s="1"/>
  <c r="B29" i="2"/>
  <c r="A29" i="2"/>
  <c r="B26" i="2"/>
  <c r="A26" i="2"/>
  <c r="B23" i="2"/>
  <c r="A23" i="2"/>
  <c r="B22" i="2"/>
  <c r="A22" i="2"/>
  <c r="B21" i="2"/>
  <c r="A21" i="2"/>
  <c r="B19" i="2"/>
  <c r="B21" i="4" s="1"/>
  <c r="A19" i="2"/>
  <c r="A21" i="4" s="1"/>
  <c r="B18" i="2"/>
  <c r="A18" i="2"/>
  <c r="B17" i="2"/>
  <c r="A17" i="2"/>
  <c r="B16" i="2"/>
  <c r="A16" i="2"/>
  <c r="B15" i="2"/>
  <c r="A15" i="2"/>
  <c r="B9" i="2"/>
  <c r="B8" i="2"/>
  <c r="B7" i="2"/>
  <c r="A11" i="2"/>
  <c r="A11" i="4" s="1"/>
  <c r="A10" i="2"/>
  <c r="A10" i="4" s="1"/>
  <c r="A9" i="2"/>
  <c r="A9" i="4" s="1"/>
  <c r="A8" i="2"/>
  <c r="A8" i="4" s="1"/>
  <c r="J425" i="36" l="1"/>
  <c r="T425" i="36" s="1"/>
  <c r="I425" i="36"/>
  <c r="S425" i="36" s="1"/>
  <c r="J404" i="36"/>
  <c r="T404" i="36" s="1"/>
  <c r="I404" i="36"/>
  <c r="S404" i="36" s="1"/>
  <c r="J399" i="36"/>
  <c r="T399" i="36" s="1"/>
  <c r="I399" i="36"/>
  <c r="S399" i="36" s="1"/>
  <c r="J393" i="36"/>
  <c r="T393" i="36" s="1"/>
  <c r="I393" i="36"/>
  <c r="S393" i="36" s="1"/>
  <c r="J372" i="36"/>
  <c r="T372" i="36" s="1"/>
  <c r="I372" i="36"/>
  <c r="S372" i="36" s="1"/>
  <c r="J259" i="36"/>
  <c r="T259" i="36" s="1"/>
  <c r="I259" i="36"/>
  <c r="S259" i="36" s="1"/>
  <c r="J167" i="36"/>
  <c r="T167" i="36" s="1"/>
  <c r="I167" i="36"/>
  <c r="S167" i="36" s="1"/>
  <c r="J126" i="36"/>
  <c r="T126" i="36" s="1"/>
  <c r="I126" i="36"/>
  <c r="S126" i="36" s="1"/>
  <c r="J114" i="36"/>
  <c r="T114" i="36" s="1"/>
  <c r="I114" i="36"/>
  <c r="S114" i="36" s="1"/>
  <c r="J77" i="36"/>
  <c r="T77" i="36" s="1"/>
  <c r="I77" i="36"/>
  <c r="S77" i="36" s="1"/>
  <c r="J69" i="36"/>
  <c r="T69" i="36" s="1"/>
  <c r="I69" i="36"/>
  <c r="S69" i="36" s="1"/>
  <c r="J54" i="36"/>
  <c r="T54" i="36" s="1"/>
  <c r="I54" i="36"/>
  <c r="S54" i="36" s="1"/>
  <c r="J49" i="36"/>
  <c r="T49" i="36" s="1"/>
  <c r="I49" i="36"/>
  <c r="S49" i="36" s="1"/>
  <c r="J41" i="36"/>
  <c r="T41" i="36" s="1"/>
  <c r="I41" i="36"/>
  <c r="S41" i="36" s="1"/>
  <c r="F284" i="29" l="1"/>
  <c r="F281" i="29"/>
  <c r="F280" i="29"/>
  <c r="F273" i="29"/>
  <c r="F272" i="29"/>
  <c r="F271" i="29"/>
  <c r="F268" i="29"/>
  <c r="F267" i="29"/>
  <c r="F260" i="29"/>
  <c r="F259" i="29"/>
  <c r="F258" i="29"/>
  <c r="F255" i="29"/>
  <c r="F254" i="29"/>
  <c r="F247" i="29"/>
  <c r="F244" i="29"/>
  <c r="F243" i="29"/>
  <c r="F236" i="29"/>
  <c r="F235" i="29"/>
  <c r="F232" i="29"/>
  <c r="F231" i="29"/>
  <c r="F224" i="29"/>
  <c r="F222" i="29"/>
  <c r="F219" i="29"/>
  <c r="F218"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L76" i="36" l="1"/>
  <c r="L62" i="36"/>
  <c r="J39" i="36"/>
  <c r="T39" i="36" s="1"/>
  <c r="L87" i="36"/>
  <c r="J371" i="36"/>
  <c r="T371" i="36" s="1"/>
  <c r="F144" i="29"/>
  <c r="F67" i="29"/>
  <c r="F158" i="29"/>
  <c r="F245" i="29"/>
  <c r="F256" i="29"/>
  <c r="F147" i="29"/>
  <c r="F101" i="29"/>
  <c r="F155" i="29"/>
  <c r="F166" i="29"/>
  <c r="F220" i="29"/>
  <c r="F248" i="29"/>
  <c r="F269" i="29"/>
  <c r="F282" i="29"/>
  <c r="F114" i="29"/>
  <c r="F20" i="29"/>
  <c r="F48" i="29"/>
  <c r="F75" i="29"/>
  <c r="F93" i="29"/>
  <c r="F233" i="29"/>
  <c r="F120" i="29"/>
  <c r="F261" i="29"/>
  <c r="F274" i="29"/>
  <c r="F285" i="29"/>
  <c r="F26" i="29"/>
  <c r="F34" i="29"/>
  <c r="F62" i="29"/>
  <c r="F79" i="29"/>
  <c r="F87" i="29"/>
  <c r="F106" i="29"/>
  <c r="F225" i="29"/>
  <c r="F237" i="29"/>
  <c r="F54" i="29"/>
  <c r="F40" i="29"/>
  <c r="J104" i="36"/>
  <c r="T104" i="36" s="1"/>
  <c r="F170" i="29"/>
  <c r="J125" i="36"/>
  <c r="T125" i="36" s="1"/>
  <c r="D23" i="2"/>
  <c r="C38" i="4"/>
  <c r="I38" i="4" s="1"/>
  <c r="J363" i="36"/>
  <c r="T363" i="36" s="1"/>
  <c r="J349" i="36"/>
  <c r="T349" i="36" s="1"/>
  <c r="J429" i="36"/>
  <c r="J34" i="36"/>
  <c r="T34" i="36" s="1"/>
  <c r="L48" i="36" l="1"/>
  <c r="D17" i="2"/>
  <c r="D33" i="2"/>
  <c r="C35" i="4" s="1"/>
  <c r="I35" i="4" s="1"/>
  <c r="D21" i="2"/>
  <c r="C23" i="4" s="1"/>
  <c r="I23" i="4" s="1"/>
  <c r="D34" i="2"/>
  <c r="D16" i="2"/>
  <c r="D32" i="2"/>
  <c r="C34" i="4" s="1"/>
  <c r="I34" i="4" s="1"/>
  <c r="D19" i="2"/>
  <c r="C21" i="4" s="1"/>
  <c r="K21" i="4" s="1"/>
  <c r="D37" i="2"/>
  <c r="C39" i="4" s="1"/>
  <c r="I39" i="4" s="1"/>
  <c r="F41" i="29"/>
  <c r="K262" i="36" s="1"/>
  <c r="E262" i="36" s="1"/>
  <c r="G262" i="36" s="1"/>
  <c r="F148" i="29"/>
  <c r="K286" i="36" s="1"/>
  <c r="E286" i="36" s="1"/>
  <c r="G286" i="36" s="1"/>
  <c r="F159" i="29"/>
  <c r="K287" i="36" s="1"/>
  <c r="E287" i="36" s="1"/>
  <c r="G287" i="36" s="1"/>
  <c r="F262" i="29"/>
  <c r="K328" i="36" s="1"/>
  <c r="E328" i="36" s="1"/>
  <c r="G328" i="36" s="1"/>
  <c r="F249" i="29"/>
  <c r="K334" i="36" s="1"/>
  <c r="E334" i="36" s="1"/>
  <c r="G334" i="36" s="1"/>
  <c r="F171" i="29"/>
  <c r="F27" i="29"/>
  <c r="K261" i="36" s="1"/>
  <c r="E261" i="36" s="1"/>
  <c r="G261" i="36" s="1"/>
  <c r="F226" i="29"/>
  <c r="K327" i="36" s="1"/>
  <c r="E327" i="36" s="1"/>
  <c r="G327" i="36" s="1"/>
  <c r="F286" i="29"/>
  <c r="K330" i="36" s="1"/>
  <c r="E330" i="36" s="1"/>
  <c r="G330" i="36" s="1"/>
  <c r="F121" i="29"/>
  <c r="K281" i="36" s="1"/>
  <c r="E281" i="36" s="1"/>
  <c r="G281" i="36" s="1"/>
  <c r="F275" i="29"/>
  <c r="K329" i="36" s="1"/>
  <c r="E329" i="36" s="1"/>
  <c r="G329" i="36" s="1"/>
  <c r="F94" i="29"/>
  <c r="K278" i="36" s="1"/>
  <c r="E278" i="36" s="1"/>
  <c r="G278" i="36" s="1"/>
  <c r="F55" i="29"/>
  <c r="K263" i="36" s="1"/>
  <c r="E263" i="36" s="1"/>
  <c r="G263" i="36" s="1"/>
  <c r="F68" i="29"/>
  <c r="K264" i="36" s="1"/>
  <c r="E264" i="36" s="1"/>
  <c r="G264" i="36" s="1"/>
  <c r="F107" i="29"/>
  <c r="K279" i="36" s="1"/>
  <c r="E279" i="36" s="1"/>
  <c r="G279" i="36" s="1"/>
  <c r="F238" i="29"/>
  <c r="K332" i="36" s="1"/>
  <c r="E332" i="36" s="1"/>
  <c r="G332" i="36" s="1"/>
  <c r="F80" i="29"/>
  <c r="K268" i="36" s="1"/>
  <c r="E268" i="36" s="1"/>
  <c r="G268" i="36" s="1"/>
  <c r="K38" i="4"/>
  <c r="G38" i="4"/>
  <c r="E38" i="4"/>
  <c r="J261" i="36" l="1"/>
  <c r="T261" i="36" s="1"/>
  <c r="R261" i="36"/>
  <c r="J264" i="36"/>
  <c r="T264" i="36" s="1"/>
  <c r="R264" i="36"/>
  <c r="J263" i="36"/>
  <c r="T263" i="36" s="1"/>
  <c r="R263" i="36"/>
  <c r="J334" i="36"/>
  <c r="T334" i="36" s="1"/>
  <c r="R334" i="36"/>
  <c r="J278" i="36"/>
  <c r="T278" i="36" s="1"/>
  <c r="R278" i="36"/>
  <c r="J328" i="36"/>
  <c r="T328" i="36" s="1"/>
  <c r="R328" i="36"/>
  <c r="J329" i="36"/>
  <c r="T329" i="36" s="1"/>
  <c r="R329" i="36"/>
  <c r="J287" i="36"/>
  <c r="T287" i="36" s="1"/>
  <c r="R287" i="36"/>
  <c r="J286" i="36"/>
  <c r="T286" i="36" s="1"/>
  <c r="R286" i="36"/>
  <c r="J268" i="36"/>
  <c r="T268" i="36" s="1"/>
  <c r="R268" i="36"/>
  <c r="J330" i="36"/>
  <c r="T330" i="36" s="1"/>
  <c r="R330" i="36"/>
  <c r="J262" i="36"/>
  <c r="T262" i="36" s="1"/>
  <c r="R262" i="36"/>
  <c r="J279" i="36"/>
  <c r="T279" i="36" s="1"/>
  <c r="R279" i="36"/>
  <c r="J281" i="36"/>
  <c r="T281" i="36" s="1"/>
  <c r="R281" i="36"/>
  <c r="J332" i="36"/>
  <c r="T332" i="36" s="1"/>
  <c r="R332" i="36"/>
  <c r="J327" i="36"/>
  <c r="T327" i="36" s="1"/>
  <c r="R327" i="36"/>
  <c r="I21" i="4"/>
  <c r="L386" i="36"/>
  <c r="J407" i="36"/>
  <c r="T407" i="36" s="1"/>
  <c r="L53" i="36"/>
  <c r="K23" i="4"/>
  <c r="K35" i="4"/>
  <c r="G35" i="4"/>
  <c r="E35" i="4"/>
  <c r="K34" i="4"/>
  <c r="E34" i="4"/>
  <c r="G34" i="4"/>
  <c r="K39" i="4"/>
  <c r="G39" i="4"/>
  <c r="E39" i="4"/>
  <c r="K292" i="36"/>
  <c r="E292" i="36" s="1"/>
  <c r="G292" i="36" s="1"/>
  <c r="J292" i="36" l="1"/>
  <c r="T292" i="36" s="1"/>
  <c r="R292" i="36"/>
  <c r="D35" i="2"/>
  <c r="J18" i="36"/>
  <c r="T18" i="36" s="1"/>
  <c r="D25" i="26"/>
  <c r="C23" i="26"/>
  <c r="D26" i="26" s="1"/>
  <c r="C26" i="26" s="1"/>
  <c r="C17" i="26"/>
  <c r="C14" i="26"/>
  <c r="J142" i="36" l="1"/>
  <c r="T142" i="36" s="1"/>
  <c r="J307" i="36"/>
  <c r="T307" i="36" s="1"/>
  <c r="J336" i="36"/>
  <c r="T336" i="36" s="1"/>
  <c r="D15" i="2"/>
  <c r="J94" i="36"/>
  <c r="T94" i="36" s="1"/>
  <c r="L68" i="36"/>
  <c r="L94" i="36" s="1"/>
  <c r="J290" i="36"/>
  <c r="T290" i="36" s="1"/>
  <c r="B18" i="4"/>
  <c r="A18" i="4"/>
  <c r="M2620" i="52" l="1"/>
  <c r="D22" i="2"/>
  <c r="D31" i="2"/>
  <c r="C33" i="4" s="1"/>
  <c r="E33" i="4" s="1"/>
  <c r="D29" i="2"/>
  <c r="D30" i="2"/>
  <c r="C32" i="4" s="1"/>
  <c r="D18" i="2"/>
  <c r="B31" i="4"/>
  <c r="A31" i="4"/>
  <c r="B29" i="4"/>
  <c r="A29" i="4"/>
  <c r="J113" i="36" l="1"/>
  <c r="T113" i="36" s="1"/>
  <c r="G33" i="4"/>
  <c r="K33" i="4"/>
  <c r="I33" i="4"/>
  <c r="K32" i="4"/>
  <c r="E32" i="4"/>
  <c r="I32" i="4"/>
  <c r="G32" i="4"/>
  <c r="C31" i="4"/>
  <c r="I31" i="4" s="1"/>
  <c r="D20" i="2" l="1"/>
  <c r="C22" i="4" s="1"/>
  <c r="K31" i="4"/>
  <c r="G31" i="4"/>
  <c r="E31" i="4"/>
  <c r="J163" i="36" l="1"/>
  <c r="T163" i="36" s="1"/>
  <c r="K22" i="4"/>
  <c r="I22" i="4"/>
  <c r="C18" i="4"/>
  <c r="I18" i="4" s="1"/>
  <c r="D24" i="2" l="1"/>
  <c r="C26" i="4" s="1"/>
  <c r="K18" i="4"/>
  <c r="G18" i="4"/>
  <c r="E18" i="4"/>
  <c r="G26" i="4" l="1"/>
  <c r="K26" i="4"/>
  <c r="E26" i="4"/>
  <c r="I26" i="4"/>
  <c r="J219" i="36"/>
  <c r="C29" i="4"/>
  <c r="I29" i="4" s="1"/>
  <c r="L430" i="36" l="1"/>
  <c r="T219" i="36"/>
  <c r="D26" i="2"/>
  <c r="J430" i="36"/>
  <c r="E431" i="36" s="1"/>
  <c r="K29" i="4"/>
  <c r="E29" i="4"/>
  <c r="G29" i="4"/>
  <c r="M430" i="36" l="1"/>
  <c r="M5" i="52"/>
  <c r="O5" i="52" s="1"/>
  <c r="N5" i="52" s="1"/>
  <c r="B25" i="4"/>
  <c r="A25" i="4"/>
  <c r="B37" i="4" l="1"/>
  <c r="B36" i="4"/>
  <c r="B28" i="4"/>
  <c r="B24" i="4"/>
  <c r="B23" i="4"/>
  <c r="B20" i="4"/>
  <c r="B19" i="4"/>
  <c r="B17" i="4"/>
  <c r="A37" i="4"/>
  <c r="A36" i="4"/>
  <c r="A28" i="4"/>
  <c r="A24" i="4"/>
  <c r="A23" i="4"/>
  <c r="A20" i="4"/>
  <c r="A17" i="4"/>
  <c r="C25" i="4" l="1"/>
  <c r="I25" i="4" s="1"/>
  <c r="C28" i="4"/>
  <c r="I28" i="4" s="1"/>
  <c r="G22" i="4"/>
  <c r="K28" i="4" l="1"/>
  <c r="E28" i="4"/>
  <c r="G28" i="4"/>
  <c r="G25" i="4"/>
  <c r="K25" i="4"/>
  <c r="E25" i="4"/>
  <c r="E22" i="4"/>
  <c r="C36" i="4"/>
  <c r="I36" i="4" s="1"/>
  <c r="K36" i="4" l="1"/>
  <c r="E36" i="4"/>
  <c r="G36" i="4"/>
  <c r="B7" i="4" l="1"/>
  <c r="A19" i="4" l="1"/>
  <c r="C37" i="4" l="1"/>
  <c r="I37" i="4" s="1"/>
  <c r="B8" i="4"/>
  <c r="B9" i="4"/>
  <c r="G37" i="4" l="1"/>
  <c r="E37" i="4"/>
  <c r="K37" i="4"/>
  <c r="M10" i="4"/>
  <c r="B11" i="4"/>
  <c r="B10" i="4"/>
  <c r="C24" i="4" l="1"/>
  <c r="I24" i="4" s="1"/>
  <c r="K24" i="4" l="1"/>
  <c r="G24" i="4"/>
  <c r="E24" i="4"/>
  <c r="C19" i="4"/>
  <c r="I19" i="4" s="1"/>
  <c r="G21" i="4"/>
  <c r="K19" i="4" l="1"/>
  <c r="E19" i="4"/>
  <c r="G19" i="4"/>
  <c r="E21" i="4"/>
  <c r="C20" i="4"/>
  <c r="I20" i="4" s="1"/>
  <c r="G20" i="4" l="1"/>
  <c r="K20" i="4"/>
  <c r="E20" i="4"/>
  <c r="C17" i="4" l="1"/>
  <c r="I17" i="4" s="1"/>
  <c r="E17" i="4" l="1"/>
  <c r="G17" i="4"/>
  <c r="K17" i="4"/>
  <c r="K40" i="4" s="1"/>
  <c r="G23" i="4" l="1"/>
  <c r="G40" i="4" s="1"/>
  <c r="E23" i="4"/>
  <c r="E40" i="4" l="1"/>
  <c r="I40" i="4"/>
  <c r="D38" i="2"/>
  <c r="E25" i="2" s="1"/>
  <c r="C40" i="4"/>
  <c r="H40" i="4" l="1"/>
  <c r="D27" i="4"/>
  <c r="L40" i="4"/>
  <c r="J40" i="4"/>
  <c r="F40" i="4"/>
  <c r="E32" i="2"/>
  <c r="E33" i="2"/>
  <c r="E31" i="2"/>
  <c r="E30" i="2"/>
  <c r="D23" i="4"/>
  <c r="D22" i="4"/>
  <c r="D21" i="4"/>
  <c r="D26" i="4"/>
  <c r="D32" i="4"/>
  <c r="D30" i="4"/>
  <c r="D33" i="4"/>
  <c r="D34" i="4"/>
  <c r="D35" i="4"/>
  <c r="D39" i="4"/>
  <c r="D38" i="4"/>
  <c r="D31" i="4"/>
  <c r="D18" i="4"/>
  <c r="D29" i="4"/>
  <c r="D28" i="4"/>
  <c r="D25" i="4"/>
  <c r="D36" i="4"/>
  <c r="D37" i="4"/>
  <c r="D24" i="4"/>
  <c r="D19" i="4"/>
  <c r="D20" i="4"/>
  <c r="E28" i="2"/>
  <c r="E16" i="2"/>
  <c r="E17" i="2"/>
  <c r="E24" i="2"/>
  <c r="E20" i="2"/>
  <c r="E22" i="2"/>
  <c r="E18" i="2"/>
  <c r="E21" i="2"/>
  <c r="E27" i="2"/>
  <c r="E29" i="2"/>
  <c r="E23" i="2"/>
  <c r="E19" i="2"/>
  <c r="E26" i="2"/>
  <c r="E37" i="2"/>
  <c r="E36" i="2"/>
  <c r="E34" i="2"/>
  <c r="E35" i="2"/>
  <c r="D39" i="2"/>
  <c r="E38" i="2"/>
  <c r="E15" i="2"/>
  <c r="E41" i="4" l="1"/>
  <c r="F41" i="4" s="1"/>
  <c r="D17" i="4"/>
  <c r="D40" i="4" l="1"/>
  <c r="G41" i="4"/>
  <c r="H41" i="4" l="1"/>
  <c r="I41" i="4"/>
  <c r="J41" i="4" l="1"/>
  <c r="L41" i="4" s="1"/>
  <c r="K41" i="4"/>
</calcChain>
</file>

<file path=xl/sharedStrings.xml><?xml version="1.0" encoding="utf-8"?>
<sst xmlns="http://schemas.openxmlformats.org/spreadsheetml/2006/main" count="15916" uniqueCount="2922">
  <si>
    <t>PROCESSO Nº:</t>
  </si>
  <si>
    <t>OBRA:</t>
  </si>
  <si>
    <t>ENDEREÇO:</t>
  </si>
  <si>
    <t>BDI:</t>
  </si>
  <si>
    <t>MUNICÍPIO:</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</si>
  <si>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</si>
  <si>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</si>
  <si>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</si>
  <si>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</si>
  <si>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</si>
  <si>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</si>
  <si>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</si>
  <si>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</si>
  <si>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</si>
  <si>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</si>
  <si>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</si>
  <si>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</si>
  <si>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</si>
  <si>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</si>
  <si>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</si>
  <si>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</si>
  <si>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</si>
  <si>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</si>
  <si>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</si>
  <si>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</si>
  <si>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</si>
  <si>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</si>
  <si>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</si>
  <si>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</si>
  <si>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</si>
  <si>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</si>
  <si>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</si>
  <si>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</si>
  <si>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</si>
  <si>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</si>
  <si>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</si>
  <si>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</si>
  <si>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</si>
  <si>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</si>
  <si>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</si>
  <si>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</si>
  <si>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</si>
  <si>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</si>
  <si>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</si>
  <si>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</si>
  <si>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</si>
  <si>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</si>
  <si>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</si>
  <si>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</si>
  <si>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</si>
  <si>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</si>
  <si>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</si>
  <si>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</si>
  <si>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</si>
  <si>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</si>
  <si>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</si>
  <si>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</si>
  <si>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</si>
  <si>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</si>
  <si>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</si>
  <si>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</si>
  <si>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</si>
  <si>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</si>
  <si>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</si>
  <si>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</si>
  <si>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</si>
  <si>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</si>
  <si>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</si>
  <si>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</si>
  <si>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</si>
  <si>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</si>
  <si>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</si>
  <si>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</si>
  <si>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</si>
  <si>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</si>
  <si>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</si>
  <si>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</si>
  <si>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</si>
  <si>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10.3</t>
  </si>
  <si>
    <t>10.4</t>
  </si>
  <si>
    <t>INSTALAÇÕES HIDRÁULICAS</t>
  </si>
  <si>
    <t>11.1</t>
  </si>
  <si>
    <t>11.2</t>
  </si>
  <si>
    <t>12.1</t>
  </si>
  <si>
    <t>12.2</t>
  </si>
  <si>
    <t>12.3</t>
  </si>
  <si>
    <t>12.5</t>
  </si>
  <si>
    <t>13.1</t>
  </si>
  <si>
    <t>13.2</t>
  </si>
  <si>
    <t>13.3</t>
  </si>
  <si>
    <t>14.1</t>
  </si>
  <si>
    <t>14.2</t>
  </si>
  <si>
    <t>PINTURA</t>
  </si>
  <si>
    <t>AUXILIAR DE ELETRICISTA COM ENCARGOS COMPLEMENTARES</t>
  </si>
  <si>
    <t>ELETRICISTA COM ENCARGOS COMPLEMENTARES</t>
  </si>
  <si>
    <t>Materiais</t>
  </si>
  <si>
    <t>QUADRO DE COTAÇÕES ( un  )</t>
  </si>
  <si>
    <t>Empresa</t>
  </si>
  <si>
    <t>valor</t>
  </si>
  <si>
    <t>CONTATO</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</si>
  <si>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</si>
  <si>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</si>
  <si>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</si>
  <si>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</si>
  <si>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</si>
  <si>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</si>
  <si>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</si>
  <si>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</si>
  <si>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</si>
  <si>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</si>
  <si>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</si>
  <si>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9.3</t>
  </si>
  <si>
    <t>9.4</t>
  </si>
  <si>
    <t>9.5</t>
  </si>
  <si>
    <t>9.6</t>
  </si>
  <si>
    <t>9.7</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</si>
  <si>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</si>
  <si>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</si>
  <si>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</si>
  <si>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</si>
  <si>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</si>
  <si>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</si>
  <si>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</si>
  <si>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</si>
  <si>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</si>
  <si>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</si>
  <si>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</si>
  <si>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</si>
  <si>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</si>
  <si>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</si>
  <si>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</si>
  <si>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ENGENHEIRO CIVIL DE OBRA JUNIOR COM ENCARGOS COMPLEMENTARES</t>
  </si>
  <si>
    <t>COMP 02</t>
  </si>
  <si>
    <t>DATA:</t>
  </si>
  <si>
    <t xml:space="preserve">MEMÓRIA DE CÁLCULO </t>
  </si>
  <si>
    <t>COMP 03</t>
  </si>
  <si>
    <t>8.2</t>
  </si>
  <si>
    <t>8.3</t>
  </si>
  <si>
    <t>8.4</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</si>
  <si>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</si>
  <si>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</si>
  <si>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</si>
  <si>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</si>
  <si>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</si>
  <si>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</si>
  <si>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</si>
  <si>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</si>
  <si>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</si>
  <si>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</si>
  <si>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</si>
  <si>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</si>
  <si>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</si>
  <si>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</si>
  <si>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</si>
  <si>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</si>
  <si>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</si>
  <si>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</si>
  <si>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</si>
  <si>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</si>
  <si>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</si>
  <si>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</si>
  <si>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</si>
  <si>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8.5</t>
  </si>
  <si>
    <t>8.6</t>
  </si>
  <si>
    <t>8.7</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</si>
  <si>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</si>
  <si>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</si>
  <si>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</si>
  <si>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</si>
  <si>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</si>
  <si>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</si>
  <si>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</si>
  <si>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</si>
  <si>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</si>
  <si>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INTERRUPTOR SIMPLES (2 MÓDULOS), 10A/250V, INCLUINDO SUPORTE E PLACA - FORNECIMENTO E INSTALAÇÃO. AF_12/2015</t>
  </si>
  <si>
    <t>CAIXA RETANGULAR 4" X 2" ALTA (2,00 M DO PISO), PVC, INSTALADA EM PAREDE - FORNECIMENTO E INSTALAÇÃO. AF_12/2015</t>
  </si>
  <si>
    <t>LIXA EM FOLHA PARA PAREDE OU MADEIRA, NUMERO 120 (COR VERMELHA)</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</si>
  <si>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</si>
  <si>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</si>
  <si>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</si>
  <si>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</si>
  <si>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</si>
  <si>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</si>
  <si>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</si>
  <si>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</si>
  <si>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</si>
  <si>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</si>
  <si>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</si>
  <si>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</si>
  <si>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</si>
  <si>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</si>
  <si>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1.9</t>
  </si>
  <si>
    <t>2.5</t>
  </si>
  <si>
    <t>2.6</t>
  </si>
  <si>
    <t>2.7</t>
  </si>
  <si>
    <t>2.8</t>
  </si>
  <si>
    <t>2.9</t>
  </si>
  <si>
    <t>2.10</t>
  </si>
  <si>
    <t>2.11</t>
  </si>
  <si>
    <t>2.12</t>
  </si>
  <si>
    <t>2.13</t>
  </si>
  <si>
    <t>2.14</t>
  </si>
  <si>
    <t>UND</t>
  </si>
  <si>
    <t>ENTRADA PROVISORIA DE ENERGIA ELETRICA AEREA TRIFASICA 40A EM POSTE MADEIRA</t>
  </si>
  <si>
    <t>MOVIMENTO DE TERRA</t>
  </si>
  <si>
    <t>REVESTIMENTO DE PISO</t>
  </si>
  <si>
    <t>REVESTIMENTO DE PAREDE</t>
  </si>
  <si>
    <t>LIMPEZA DO TERRENO</t>
  </si>
  <si>
    <t>4.5</t>
  </si>
  <si>
    <t>4.1.2</t>
  </si>
  <si>
    <t>4.1.1</t>
  </si>
  <si>
    <t>4.1.3</t>
  </si>
  <si>
    <t>4.1.4</t>
  </si>
  <si>
    <t>4.1.6</t>
  </si>
  <si>
    <t>4.1.7</t>
  </si>
  <si>
    <t>VIGAS BALDRAMES</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</si>
  <si>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</si>
  <si>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</si>
  <si>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</si>
  <si>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</si>
  <si>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</si>
  <si>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</si>
  <si>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</si>
  <si>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</si>
  <si>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</si>
  <si>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</si>
  <si>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</si>
  <si>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</si>
  <si>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</si>
  <si>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</si>
  <si>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</si>
  <si>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</si>
  <si>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</si>
  <si>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</si>
  <si>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</si>
  <si>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</si>
  <si>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</si>
  <si>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</si>
  <si>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</si>
  <si>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</si>
  <si>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</si>
  <si>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 xml:space="preserve">CABO DE COBRE FLEXÍVEL ISOLADO, 4 MM², ANTI-CHAMA 450/750 V, PARA CIRCUITOS TERMINAIS - FORNECIMENTO E INSTALAÇÃO. AF_12/2015 </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</si>
  <si>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</si>
  <si>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</si>
  <si>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</si>
  <si>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10.5</t>
  </si>
  <si>
    <t>10.6</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</si>
  <si>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</si>
  <si>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</si>
  <si>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</si>
  <si>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</si>
  <si>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</si>
  <si>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</si>
  <si>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</si>
  <si>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</si>
  <si>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</si>
  <si>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</si>
  <si>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</si>
  <si>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</si>
  <si>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</si>
  <si>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</si>
  <si>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</si>
  <si>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</si>
  <si>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</si>
  <si>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</si>
  <si>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</si>
  <si>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</si>
  <si>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</si>
  <si>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</si>
  <si>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</si>
  <si>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</si>
  <si>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</si>
  <si>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</si>
  <si>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</si>
  <si>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</si>
  <si>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</si>
  <si>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</si>
  <si>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</si>
  <si>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</si>
  <si>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</si>
  <si>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 xml:space="preserve">INSTALAÇÕES ELÉTRICAS </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</si>
  <si>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</si>
  <si>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</si>
  <si>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</si>
  <si>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</si>
  <si>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</si>
  <si>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</si>
  <si>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</si>
  <si>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</si>
  <si>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</si>
  <si>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</si>
  <si>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</si>
  <si>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</si>
  <si>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</si>
  <si>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</si>
  <si>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</si>
  <si>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</si>
  <si>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BDI</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</si>
  <si>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</si>
  <si>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</si>
  <si>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</si>
  <si>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</si>
  <si>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</si>
  <si>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</si>
  <si>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</si>
  <si>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</si>
  <si>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</si>
  <si>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</si>
  <si>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</si>
  <si>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</si>
  <si>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</si>
  <si>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</si>
  <si>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</si>
  <si>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</si>
  <si>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</si>
  <si>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</si>
  <si>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Área total do terreno</t>
  </si>
  <si>
    <t>CARGA MANUAL DE ENTULHO EM CAÇAMBA BOTA FORA DE 6,00M³</t>
  </si>
  <si>
    <t>Volume gerado pela limpeza do terreno</t>
  </si>
  <si>
    <t>LOCAÇÃO CONVENCIONAL DE OBRA , UTILIZANDO GABARITO DE TÁBUAS CORRIDAS</t>
  </si>
  <si>
    <t>Utilizar o comprimento do gabarito com tábuas corridas</t>
  </si>
  <si>
    <t>PLANTA BAIXA - ESQUEMÁTICA</t>
  </si>
  <si>
    <t>PERÍMETRO (M)</t>
  </si>
  <si>
    <t>PERÍMETRO TOTAL(M)</t>
  </si>
  <si>
    <t>3.0</t>
  </si>
  <si>
    <t>ESTRUTURA DE CONCRETO</t>
  </si>
  <si>
    <t>4.0</t>
  </si>
  <si>
    <t>ESTRUTURA METÁLICA</t>
  </si>
  <si>
    <t>5.0</t>
  </si>
  <si>
    <t>IMPERMEABILIZAÇÃO</t>
  </si>
  <si>
    <t>6.0</t>
  </si>
  <si>
    <t>ALVENARIA</t>
  </si>
  <si>
    <t>ALTURA (m)</t>
  </si>
  <si>
    <t>Área (m²)</t>
  </si>
  <si>
    <t>A X L vão</t>
  </si>
  <si>
    <t>Área vão (m²)</t>
  </si>
  <si>
    <t>Área Final (m²)</t>
  </si>
  <si>
    <t>PAREDES COM ÁREA LÍQUIDA MAIOR QUE 6M² - SEM VÃO</t>
  </si>
  <si>
    <t>PAREDES COM ÁREA LÍQUIDA MENOR QUE 6M² - COM VÃO</t>
  </si>
  <si>
    <t>PAREDES COM ÁREA LÍQUIDA MENOR QUE 6M² - SEM VÃO</t>
  </si>
  <si>
    <t>TOTAL GERAL</t>
  </si>
  <si>
    <t>6.2.1</t>
  </si>
  <si>
    <t>VERGAS PARA JANELAS</t>
  </si>
  <si>
    <t xml:space="preserve">Dimensão da esquadria com transpasse de 30cm para cada lado. </t>
  </si>
  <si>
    <t>CÓDIGO/QUANTIDADE</t>
  </si>
  <si>
    <t>LARGURA</t>
  </si>
  <si>
    <t>TRANSPASSE</t>
  </si>
  <si>
    <t>COMPRIMENTO FINAL (M)</t>
  </si>
  <si>
    <t>0,30+0,30</t>
  </si>
  <si>
    <t>6.2.2</t>
  </si>
  <si>
    <t>VERGAS PARA PORTAS</t>
  </si>
  <si>
    <t>6.2.3</t>
  </si>
  <si>
    <t>CONTRA-VERGAS</t>
  </si>
  <si>
    <t>7.0</t>
  </si>
  <si>
    <t>COBERTURA</t>
  </si>
  <si>
    <t>COMPRIMENTO</t>
  </si>
  <si>
    <t xml:space="preserve">Valor retirado através do Projeto Arquitetônico pelo Projetista. </t>
  </si>
  <si>
    <t>Utilizar área de Projeção do Telhado</t>
  </si>
  <si>
    <t>ÁREA TOTAL</t>
  </si>
  <si>
    <t>8.0</t>
  </si>
  <si>
    <t>Área total da esquadria em metro quadrado</t>
  </si>
  <si>
    <t xml:space="preserve">LARGURA </t>
  </si>
  <si>
    <t>ALTURA</t>
  </si>
  <si>
    <t>TOTAL (M²)</t>
  </si>
  <si>
    <t>P1</t>
  </si>
  <si>
    <t>P2</t>
  </si>
  <si>
    <t>P3</t>
  </si>
  <si>
    <t>P4</t>
  </si>
  <si>
    <t>P5</t>
  </si>
  <si>
    <t>J1</t>
  </si>
  <si>
    <t>J2</t>
  </si>
  <si>
    <t>8.8</t>
  </si>
  <si>
    <t>J3</t>
  </si>
  <si>
    <t>8.9</t>
  </si>
  <si>
    <t>J4</t>
  </si>
  <si>
    <t>8.10</t>
  </si>
  <si>
    <t>Utilizar as dimensões estipuladas em Projeto Arquitetônico</t>
  </si>
  <si>
    <t>AMBIENTE</t>
  </si>
  <si>
    <t>TOTAL (M)</t>
  </si>
  <si>
    <t>Ver detalhe do peitoril no Caderno de Detalhes</t>
  </si>
  <si>
    <t>8.11</t>
  </si>
  <si>
    <t>8.12</t>
  </si>
  <si>
    <t>ÁREA TOTAL (M²)</t>
  </si>
  <si>
    <t>9.0</t>
  </si>
  <si>
    <t>REVESTIMENTOS</t>
  </si>
  <si>
    <t>Utilizar área de revestimento efetivamente executada. Todos os vãos deverão ser descontados.</t>
  </si>
  <si>
    <t>Recepção</t>
  </si>
  <si>
    <t xml:space="preserve">ÁREA TOTAL </t>
  </si>
  <si>
    <t>PISOS</t>
  </si>
  <si>
    <t>Critérios para quantificação dos serviços: Menores de 5m², entre 5 e 10m² e maior que 10m²</t>
  </si>
  <si>
    <t>Utilizar área de revestimento efetivamente executada. A área de projeção das paredes deve ser descontada.</t>
  </si>
  <si>
    <t>AMBIENTES</t>
  </si>
  <si>
    <t>LASTRO DE CONCRETO ESPESSURA 6CM (CONTRAPISO)</t>
  </si>
  <si>
    <t xml:space="preserve">ÁREA </t>
  </si>
  <si>
    <t xml:space="preserve">PINTURA </t>
  </si>
  <si>
    <t>BLOCO 01</t>
  </si>
  <si>
    <t>LIMPEZA FINAL DA OBRA</t>
  </si>
  <si>
    <t>Área total de piso.</t>
  </si>
  <si>
    <t>ambientes com área menor que 5m²</t>
  </si>
  <si>
    <t>ambientes com área entre 5m² e 10m²</t>
  </si>
  <si>
    <t>ambientes com área maior que 10m²</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</si>
  <si>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</si>
  <si>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</si>
  <si>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</si>
  <si>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</si>
  <si>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</si>
  <si>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</si>
  <si>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</si>
  <si>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</si>
  <si>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</si>
  <si>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</si>
  <si>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H</t>
  </si>
  <si>
    <t>AREIA MEDIA - POSTO JAZIDA/FORNECEDOR (RETIRADO NA JAZIDA, SEM TRANSPORTE)</t>
  </si>
  <si>
    <t>PEDRA BRITADA N. 2 (19 A 38 MM) POSTO PEDREIRA/FORNECEDOR, SEM FRETE</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</si>
  <si>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</si>
  <si>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</si>
  <si>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</si>
  <si>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</si>
  <si>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</si>
  <si>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</si>
  <si>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</si>
  <si>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</si>
  <si>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</si>
  <si>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</si>
  <si>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</si>
  <si>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</si>
  <si>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</si>
  <si>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</si>
  <si>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</si>
  <si>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</si>
  <si>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</si>
  <si>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</si>
  <si>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</si>
  <si>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</si>
  <si>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</si>
  <si>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</si>
  <si>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</si>
  <si>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</si>
  <si>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</si>
  <si>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</si>
  <si>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</si>
  <si>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</si>
  <si>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</si>
  <si>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</si>
  <si>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</si>
  <si>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</si>
  <si>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</si>
  <si>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</si>
  <si>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</si>
  <si>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</si>
  <si>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</si>
  <si>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</si>
  <si>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</si>
  <si>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</si>
  <si>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AJUDANTE DE CARPINTEIRO COM ENCARGOS COMPLEMENTARES</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</si>
  <si>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</si>
  <si>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</si>
  <si>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</si>
  <si>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</si>
  <si>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</si>
  <si>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</si>
  <si>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</si>
  <si>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</si>
  <si>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</si>
  <si>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</si>
  <si>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</si>
  <si>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</si>
  <si>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</si>
  <si>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</si>
  <si>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</si>
  <si>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</si>
  <si>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</si>
  <si>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</si>
  <si>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</si>
  <si>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</si>
  <si>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</si>
  <si>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</si>
  <si>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</si>
  <si>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</si>
  <si>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</si>
  <si>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</si>
  <si>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</si>
  <si>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</si>
  <si>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</si>
  <si>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</si>
  <si>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</si>
  <si>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</si>
  <si>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</si>
  <si>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</si>
  <si>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</si>
  <si>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</si>
  <si>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</si>
  <si>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</si>
  <si>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</si>
  <si>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</si>
  <si>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</si>
  <si>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</si>
  <si>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</si>
  <si>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</si>
  <si>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</si>
  <si>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</si>
  <si>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</si>
  <si>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</si>
  <si>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</si>
  <si>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</si>
  <si>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</si>
  <si>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</si>
  <si>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</si>
  <si>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</si>
  <si>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</si>
  <si>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</si>
  <si>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</si>
  <si>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</si>
  <si>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</si>
  <si>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</si>
  <si>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</si>
  <si>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</si>
  <si>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</si>
  <si>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</si>
  <si>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</si>
  <si>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</si>
  <si>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</si>
  <si>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</si>
  <si>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</si>
  <si>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</si>
  <si>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</si>
  <si>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</si>
  <si>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</si>
  <si>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</si>
  <si>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</si>
  <si>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</si>
  <si>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</si>
  <si>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</si>
  <si>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</si>
  <si>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</si>
  <si>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</si>
  <si>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</si>
  <si>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</si>
  <si>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</si>
  <si>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</si>
  <si>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</si>
  <si>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</si>
  <si>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</si>
  <si>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</si>
  <si>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</si>
  <si>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</si>
  <si>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</si>
  <si>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</si>
  <si>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</si>
  <si>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</si>
  <si>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</si>
  <si>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</si>
  <si>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</si>
  <si>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</si>
  <si>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</si>
  <si>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</si>
  <si>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</si>
  <si>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</si>
  <si>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</si>
  <si>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</si>
  <si>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</si>
  <si>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</si>
  <si>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</si>
  <si>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</si>
  <si>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</si>
  <si>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</si>
  <si>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</si>
  <si>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</si>
  <si>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</si>
  <si>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</si>
  <si>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</si>
  <si>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</si>
  <si>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</si>
  <si>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</si>
  <si>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</si>
  <si>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</si>
  <si>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</si>
  <si>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</si>
  <si>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</si>
  <si>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LASTRO DE CONCRETO MAGRO, APLICADO EM PISOS OU RADIERS, ESPESSURA DE 5CM. AF_07/2016</t>
  </si>
  <si>
    <t>9.8</t>
  </si>
  <si>
    <t>9.9</t>
  </si>
  <si>
    <t>9.10</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</si>
  <si>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</si>
  <si>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</si>
  <si>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</si>
  <si>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</si>
  <si>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</si>
  <si>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</si>
  <si>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</si>
  <si>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</si>
  <si>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</si>
  <si>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</si>
  <si>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</si>
  <si>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</si>
  <si>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</si>
  <si>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</si>
  <si>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</si>
  <si>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</si>
  <si>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</si>
  <si>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</si>
  <si>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</si>
  <si>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</si>
  <si>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</si>
  <si>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</si>
  <si>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</si>
  <si>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</si>
  <si>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14.1.1</t>
  </si>
  <si>
    <t>ESGOTAMENTO SANITÁRIO</t>
  </si>
  <si>
    <t>15.1</t>
  </si>
  <si>
    <t>PLANTIO DE GRAMA EM PLACAS. AF_05/2018</t>
  </si>
  <si>
    <t>17.4</t>
  </si>
  <si>
    <t>MURO DE DIVISA E MURETA DO GRADIL</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</si>
  <si>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</si>
  <si>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</si>
  <si>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</si>
  <si>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</si>
  <si>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</si>
  <si>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</si>
  <si>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</si>
  <si>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</si>
  <si>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</si>
  <si>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</si>
  <si>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</si>
  <si>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</si>
  <si>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</si>
  <si>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</si>
  <si>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</si>
  <si>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</si>
  <si>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</si>
  <si>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</si>
  <si>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</si>
  <si>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</si>
  <si>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CHAPISCO APLICADO EM ALVENARIAS E ESTRUTURAS DE CONCRETO INTERNAS, COM COLHER DE PEDREIRO. ARGAMASSA TRAÇO 1:3 COM PREPARO EM BETONEIRA 400L. AF_06/2014</t>
  </si>
  <si>
    <t>Composição de referência para os coeficientes de consumo: 83878/SINAPI - JAN/20</t>
  </si>
  <si>
    <t>TANGARÁ DA SERRA - MT</t>
  </si>
  <si>
    <t>CONSTRUÇÃO DAS SEDES DAS DIRETORIAS DE UNIDADE DESCONCENTRADA DA SEMA</t>
  </si>
  <si>
    <t xml:space="preserve">RUA 24A </t>
  </si>
  <si>
    <t>TANGARÁ DA SERRA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</si>
  <si>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</si>
  <si>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</si>
  <si>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</si>
  <si>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</si>
  <si>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</si>
  <si>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</si>
  <si>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25,29+44,80+73,76+38,45</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</si>
  <si>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</si>
  <si>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</si>
  <si>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</si>
  <si>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</si>
  <si>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</si>
  <si>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</si>
  <si>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</si>
  <si>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</si>
  <si>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</si>
  <si>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LOCAÇÃO</t>
  </si>
  <si>
    <t>17,25+7,80+7,50+8,75+9,65+1,35+4,15+5,00+3,35+2,35+3,65+1,45+4,65+1,35</t>
  </si>
  <si>
    <t>Todo o perímetro da edificação</t>
  </si>
  <si>
    <t>EXECUÇÃO DE ALVENARIA DE ELEVAÇÃO  - BLOCO CERÂMICO</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</si>
  <si>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</si>
  <si>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</si>
  <si>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</si>
  <si>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</si>
  <si>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</si>
  <si>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</si>
  <si>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</si>
  <si>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</si>
  <si>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</si>
  <si>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</si>
  <si>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1,35+1,35+(1,85*4)+1,95</t>
  </si>
  <si>
    <t>4,15+1,50+4,80+3,65+1,65+4,30+4,00 (platibanda 01)</t>
  </si>
  <si>
    <t>3,55 (platibanda 02)</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</si>
  <si>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</si>
  <si>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</si>
  <si>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</si>
  <si>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</si>
  <si>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</si>
  <si>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</si>
  <si>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</si>
  <si>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</si>
  <si>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</si>
  <si>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</si>
  <si>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</si>
  <si>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</si>
  <si>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6.1.2</t>
  </si>
  <si>
    <t>ELEMENTO VAZADO DE CONCRETO QUADRADO 16 FUROS</t>
  </si>
  <si>
    <t>ALTURA (M)</t>
  </si>
  <si>
    <t>DESC. DE VÃO</t>
  </si>
  <si>
    <t>0,90X2,10</t>
  </si>
  <si>
    <t>J1X11</t>
  </si>
  <si>
    <t>J2X06</t>
  </si>
  <si>
    <t>J3X2</t>
  </si>
  <si>
    <t>J4X1</t>
  </si>
  <si>
    <t>P1X1</t>
  </si>
  <si>
    <t>P2X1</t>
  </si>
  <si>
    <t>P3X3</t>
  </si>
  <si>
    <t>P4X1</t>
  </si>
  <si>
    <t>P5X1</t>
  </si>
  <si>
    <t>P6X1</t>
  </si>
  <si>
    <t>P7X5</t>
  </si>
  <si>
    <t>COBERTURA  COM TELHA METÁLICA ISOTÉRMICA E=43MM, COM ATÉ DUAS ÁGUAS, INCLUSO IÇAMENTO</t>
  </si>
  <si>
    <t>Área de cobertura do prédio</t>
  </si>
  <si>
    <t>ESTRUTURA METÁLICA DA COBERTURA</t>
  </si>
  <si>
    <t>REGULARIZAÇÃO DE LAJE - CAIMENTO PARA ESCOAMENTO DA ÁGUA INCL. 2%</t>
  </si>
  <si>
    <t xml:space="preserve">Beiral Externo </t>
  </si>
  <si>
    <t xml:space="preserve">PORTA DE ABRIR DE FERRO EM CHAPA CORRUGADA </t>
  </si>
  <si>
    <t xml:space="preserve">PORTA DE ABRIR DE MADEIRA </t>
  </si>
  <si>
    <t>PORTA DE MADEIRA</t>
  </si>
  <si>
    <t>PORTA DE CORRER DE MADEIRA</t>
  </si>
  <si>
    <t>P6</t>
  </si>
  <si>
    <t>PORTA DE ABRIR EM ALUMÍNIO</t>
  </si>
  <si>
    <t>P7</t>
  </si>
  <si>
    <t>P8</t>
  </si>
  <si>
    <t>PORTÃO DE CORRER DE UMA FOLHA - ELÉTRICO</t>
  </si>
  <si>
    <t>P9</t>
  </si>
  <si>
    <t>PORTÃO DE CORRER DUAS FOLHAS - ELÉTRICO</t>
  </si>
  <si>
    <t>P10</t>
  </si>
  <si>
    <t>JANELA MAXIM AR DE ALUMÍNIO COM VIDRO LISO 6MM</t>
  </si>
  <si>
    <t>8.13</t>
  </si>
  <si>
    <t>JANELA CORRER DE  ALUMÍNIO COM VIDRO LISO 6MM</t>
  </si>
  <si>
    <t>8.14</t>
  </si>
  <si>
    <t>8.15</t>
  </si>
  <si>
    <t>J5</t>
  </si>
  <si>
    <t xml:space="preserve">PEITORIL EM GRANITO BRANCO SIENA </t>
  </si>
  <si>
    <t xml:space="preserve">Ver detalhe do peitoril </t>
  </si>
  <si>
    <t>8.16</t>
  </si>
  <si>
    <t xml:space="preserve">REQUADRO DE GRANITO BRANCO SIENA PARA A ÁREA DO JARDIM </t>
  </si>
  <si>
    <t>5,40+2,90</t>
  </si>
  <si>
    <t>8.17</t>
  </si>
  <si>
    <t xml:space="preserve">SOLEIRA EM GRANITO BRANCO SIENA POLIDO </t>
  </si>
  <si>
    <t>CHAPISCO PARA PAREDES INTERNAS</t>
  </si>
  <si>
    <t>ÁREA LÍQUIDA MENOR QUE 5M²</t>
  </si>
  <si>
    <t>Administrativo (1,50)</t>
  </si>
  <si>
    <t>Reunião (1,95)</t>
  </si>
  <si>
    <t>P3(0,80x2,10)</t>
  </si>
  <si>
    <t>Banheiro Feminino (1,05+2,85+3,85+1,85+1,08+2,0)</t>
  </si>
  <si>
    <t>Banheiro Masculino (1,05+2,85+3,85+1,85+1,08+2,0)</t>
  </si>
  <si>
    <t>Banheiro PNE Masc. 91,85+1,85+1,65+1,65)</t>
  </si>
  <si>
    <t>Banheiro PNE Fem. 91,85+1,85+1,65+1,65)</t>
  </si>
  <si>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</si>
  <si>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</si>
  <si>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</si>
  <si>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</si>
  <si>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</si>
  <si>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</si>
  <si>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</si>
  <si>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</si>
  <si>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</si>
  <si>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</si>
  <si>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</si>
  <si>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</si>
  <si>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</si>
  <si>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</si>
  <si>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</si>
  <si>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</si>
  <si>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</si>
  <si>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</si>
  <si>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</si>
  <si>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</si>
  <si>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</si>
  <si>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</si>
  <si>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</si>
  <si>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</si>
  <si>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</si>
  <si>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</si>
  <si>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</si>
  <si>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</si>
  <si>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</si>
  <si>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</si>
  <si>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</si>
  <si>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</si>
  <si>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</si>
  <si>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EMBOÇO PARA REVESTIMENTO CERÂMICO</t>
  </si>
  <si>
    <t>J5 (0,40X0,60)</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</si>
  <si>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</si>
  <si>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</si>
  <si>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</si>
  <si>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</si>
  <si>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</si>
  <si>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</si>
  <si>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</si>
  <si>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</si>
  <si>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</si>
  <si>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</si>
  <si>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</si>
  <si>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</si>
  <si>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</si>
  <si>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</si>
  <si>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</si>
  <si>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</si>
  <si>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</si>
  <si>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REVESTIMENTO CERÂMICO PAREDES INTERNAS 30X60CM</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</si>
  <si>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</si>
  <si>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</si>
  <si>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</si>
  <si>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</si>
  <si>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</si>
  <si>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</si>
  <si>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</si>
  <si>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</si>
  <si>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</si>
  <si>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</si>
  <si>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</si>
  <si>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</si>
  <si>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</si>
  <si>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</si>
  <si>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</si>
  <si>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</si>
  <si>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</si>
  <si>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</si>
  <si>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</si>
  <si>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</si>
  <si>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</si>
  <si>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</si>
  <si>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EMBOÇO PARA RECEBIMENTO DE REVESTIMENTO CERÂMICO - PAREDES EXTERNAS</t>
  </si>
  <si>
    <t>REVESTIMENTO CERÂMICO - PAREDES EXTERNAS</t>
  </si>
  <si>
    <t>CHAPISCO PARA LAJE</t>
  </si>
  <si>
    <t>Critérios para quantificação dos serviços</t>
  </si>
  <si>
    <t>Depósito 01</t>
  </si>
  <si>
    <t>O beiral náo receberá chapisco, receberá somente textura.</t>
  </si>
  <si>
    <t>Administrativo</t>
  </si>
  <si>
    <t>Depósito 02</t>
  </si>
  <si>
    <t>Diretor</t>
  </si>
  <si>
    <t>Sala de Reunião</t>
  </si>
  <si>
    <t>Copa</t>
  </si>
  <si>
    <t>DML</t>
  </si>
  <si>
    <t>Banheiro Masculino</t>
  </si>
  <si>
    <t>Banheiro PNE Masc.</t>
  </si>
  <si>
    <t>Banheiro Feminino</t>
  </si>
  <si>
    <t>Banheiro PNE Fem.</t>
  </si>
  <si>
    <t>NIVELAMENTO E APILOAMENTO DE BASE PARA RECEBIMENTO DO CONTAPISO</t>
  </si>
  <si>
    <t>ÁREA TOTAL(M²)</t>
  </si>
  <si>
    <t>DML, Banheiro PNE Masculino, Banheiro PNE Feminino.</t>
  </si>
  <si>
    <t>3,18+2,78+2,78</t>
  </si>
  <si>
    <t>Copa, Banheiro Masculino, Banheiro Feminino</t>
  </si>
  <si>
    <t>7,70+7,68+7,68</t>
  </si>
  <si>
    <t>Depósito 01, Administrativo, Depósito 02, Diretor, Reunião, Recepção, Hall Interno/Circulação, Hall Externo</t>
  </si>
  <si>
    <t>34,87+72,37+10,55+16,00+19,64+20+30,21+10,61</t>
  </si>
  <si>
    <t xml:space="preserve">Calçada Externa interior do terreno, Área Técnica, Calçada Ruas </t>
  </si>
  <si>
    <t>66,73+13,70+31,95+4,46+68,14+108,42</t>
  </si>
  <si>
    <t>Calçada de concreto</t>
  </si>
  <si>
    <t>Calçada Externa interior do terreno, Área Técnica</t>
  </si>
  <si>
    <t>66,73+13,70+31,95+4,46</t>
  </si>
  <si>
    <t>CALÇADA RUA 24-A E RUA 09</t>
  </si>
  <si>
    <t>RUAS 24-A E RUA 09</t>
  </si>
  <si>
    <t>68,14+108,42</t>
  </si>
  <si>
    <t>REGULARIZAÇÃO DESEMPENADA DE BASE PARA REVESTIMENTO DE PISO (6CM)</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</si>
  <si>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</si>
  <si>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</si>
  <si>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</si>
  <si>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</si>
  <si>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</si>
  <si>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</si>
  <si>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</si>
  <si>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</si>
  <si>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</si>
  <si>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</si>
  <si>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</si>
  <si>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</si>
  <si>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</si>
  <si>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</si>
  <si>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</si>
  <si>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</si>
  <si>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</si>
  <si>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</si>
  <si>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</si>
  <si>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</si>
  <si>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</si>
  <si>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</si>
  <si>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</si>
  <si>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</si>
  <si>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</si>
  <si>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</si>
  <si>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</si>
  <si>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</si>
  <si>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</si>
  <si>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</si>
  <si>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</si>
  <si>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</si>
  <si>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</si>
  <si>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</si>
  <si>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SELADOR PARA PAREDES INTERNAS, UMA DEMÃO.</t>
  </si>
  <si>
    <t>Critérios para quantificação dos serviços: equivalente à área de reboco</t>
  </si>
  <si>
    <t>Utilizar a área de aplicação da pintura em alvenaria. Descontando os vãos.</t>
  </si>
  <si>
    <t>P7(0,80*2,10*4)</t>
  </si>
  <si>
    <t>EMASSAMENTO DE PAREDES INTERNAS</t>
  </si>
  <si>
    <t>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</si>
  <si>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</si>
  <si>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</si>
  <si>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</si>
  <si>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</si>
  <si>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</si>
  <si>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</si>
  <si>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TEXTURA PARA PAREDES EXTERNAS, DUAS DEMÃO</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</si>
  <si>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</si>
  <si>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</si>
  <si>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</si>
  <si>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</si>
  <si>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</si>
  <si>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</si>
  <si>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</si>
  <si>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</si>
  <si>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</si>
  <si>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</si>
  <si>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</si>
  <si>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</si>
  <si>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FORNECIMENTO E INSTALAÇÃO DE BACIA SANITÁRIA COM CAIXA ACOPLADA</t>
  </si>
  <si>
    <t>Quantidade de peças que constam no Projeto Arquitetônico</t>
  </si>
  <si>
    <t xml:space="preserve">AMBIENTE </t>
  </si>
  <si>
    <t xml:space="preserve">QUANTIDADE </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</si>
  <si>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</si>
  <si>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</si>
  <si>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</si>
  <si>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</si>
  <si>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</si>
  <si>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</si>
  <si>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</si>
  <si>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</si>
  <si>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</si>
  <si>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14.4</t>
  </si>
  <si>
    <t>FORNECIMENTO E INSTALAÇÃO DE CUBA OVAL</t>
  </si>
  <si>
    <t>14.5</t>
  </si>
  <si>
    <t>FORNECIMENTO E INSTALAÇÃO DE TORNEIRA DE MESA PARA BANCADA OU LAVATÓRIO</t>
  </si>
  <si>
    <t>14.6</t>
  </si>
  <si>
    <t>FORNECIMENTO E INSTALAÇÃO DE TORNEIRA PARA LAVATÓRIO COM ALAVANCA PARA PCD</t>
  </si>
  <si>
    <t>PCD</t>
  </si>
  <si>
    <t>PcD Feminino</t>
  </si>
  <si>
    <t>14.7</t>
  </si>
  <si>
    <t>FORNECIMENTO E INSTALAÇÃO DE TORNEIRA PARA COZINHA</t>
  </si>
  <si>
    <t>14.8</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</si>
  <si>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</si>
  <si>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</si>
  <si>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</si>
  <si>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</si>
  <si>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</si>
  <si>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</si>
  <si>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</si>
  <si>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</si>
  <si>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</si>
  <si>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</si>
  <si>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</si>
  <si>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</si>
  <si>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</si>
  <si>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</si>
  <si>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</si>
  <si>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</si>
  <si>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</si>
  <si>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</si>
  <si>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</si>
  <si>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</si>
  <si>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</si>
  <si>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</si>
  <si>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</si>
  <si>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</si>
  <si>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</si>
  <si>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</si>
  <si>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</si>
  <si>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</si>
  <si>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</si>
  <si>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</si>
  <si>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14.9</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</si>
  <si>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</si>
  <si>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</si>
  <si>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</si>
  <si>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</si>
  <si>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</si>
  <si>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</si>
  <si>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</si>
  <si>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</si>
  <si>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</si>
  <si>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SERVIÇOS CONSTRUTIVOS COMPLEMENTARES</t>
  </si>
  <si>
    <t>21.1</t>
  </si>
  <si>
    <t>Conforme Projeto de cada Unidade</t>
  </si>
  <si>
    <t>Espessura de 7cm</t>
  </si>
  <si>
    <t>21.2</t>
  </si>
  <si>
    <t>MEIO FIO  DE CONCRETO MOLDADO "IN LOCO" - TRECHO RETO</t>
  </si>
  <si>
    <t>Rua 24A 27,48+ Rua 09 41,78</t>
  </si>
  <si>
    <t>21.3</t>
  </si>
  <si>
    <t>MEIO FIO  DE CONCRETO MOLDADO "IN LOCO" - TRECHO CURVO</t>
  </si>
  <si>
    <t>21.4</t>
  </si>
  <si>
    <t>FORNECIMENTO E ESPALHAMENTO DE TERRA VEGETAL, ESPESSURA 5CM</t>
  </si>
  <si>
    <t>Pátio Externo + Jardim Interno</t>
  </si>
  <si>
    <t>72,98+21,26+99,48+15,52</t>
  </si>
  <si>
    <t>Quantitativos retirados do Projeto Arquitetônico</t>
  </si>
  <si>
    <t>21.5</t>
  </si>
  <si>
    <t>FORNECIMENTO DE GRAMA ESMERALDA</t>
  </si>
  <si>
    <t>Pátio Externo</t>
  </si>
  <si>
    <t>72,98+21,26+99,48</t>
  </si>
  <si>
    <t>21.6</t>
  </si>
  <si>
    <t>FORNECIMENTO E PLANTIO DE FORROÇÃO (SINGÔNIO) - JARDIM INTERNO</t>
  </si>
  <si>
    <t>Pátio Interno</t>
  </si>
  <si>
    <t>21.7</t>
  </si>
  <si>
    <t>FORNECIMENTO E PLANTIO DE ÁRVORE ORNAMENTAL - IPE</t>
  </si>
  <si>
    <t>UNIDADES (TOTAL)</t>
  </si>
  <si>
    <t>Pátio externo + Patio Interno</t>
  </si>
  <si>
    <t>21.8</t>
  </si>
  <si>
    <t>FORNECIMENTO E PLANTIO DE ÁRVORE ORNAMENTAL - OITI</t>
  </si>
  <si>
    <t>21.9</t>
  </si>
  <si>
    <t>MURETA DE ALVENARIA PARA RECEBIMENTO DE GRADIL - ALTURA 40CM</t>
  </si>
  <si>
    <t>PERIM. TOTAL</t>
  </si>
  <si>
    <t>DESC. DE VÃOS</t>
  </si>
  <si>
    <t>24,90+44,70</t>
  </si>
  <si>
    <t>21.9.1</t>
  </si>
  <si>
    <t>CHAPISCO TRAÇO 1:3 - MURETA</t>
  </si>
  <si>
    <t>(24,90+44,70)X2</t>
  </si>
  <si>
    <t>(24,90+44,70)</t>
  </si>
  <si>
    <t>21.9.2</t>
  </si>
  <si>
    <t>EMBOÇO TRAÇO 1:4 - MURETA</t>
  </si>
  <si>
    <t>21.9.3</t>
  </si>
  <si>
    <t>REBOCO TRAÇO 1:2:8 - MURETA</t>
  </si>
  <si>
    <t>21.9.4</t>
  </si>
  <si>
    <t>SELADOR ACRÍLICO 01 DEMÃO - MURETA</t>
  </si>
  <si>
    <t>21.9.5</t>
  </si>
  <si>
    <t>TEXTURA ACRÍLICA - MURETA</t>
  </si>
  <si>
    <t>21.10</t>
  </si>
  <si>
    <t xml:space="preserve">FECHAMENTO EM GRADIL EM AÇO GALAVANIZADO PRÉ PINTADO </t>
  </si>
  <si>
    <t>21.11</t>
  </si>
  <si>
    <t>PISO INTERTRAVADO RETANGULAR - ESPESSURA 8CM</t>
  </si>
  <si>
    <t>21.12</t>
  </si>
  <si>
    <t>DEMARCAÇÃO DE PISO (SÍMBOLO CADEIRANTE)</t>
  </si>
  <si>
    <t>Consta no Projeto Arquitetônico duas vagas para PNE</t>
  </si>
  <si>
    <t>21.13</t>
  </si>
  <si>
    <t>DEMARCAÇÃO DE PISO (PINTURA ESTACIONAMENTO)</t>
  </si>
  <si>
    <t xml:space="preserve">PERÍMETRO </t>
  </si>
  <si>
    <t>7,70+(4,90X5)+20,8+(5X5)+(5,90X3)+((0,31+1,20+(1,41X6)+0,70)X2</t>
  </si>
  <si>
    <t>21.14</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</si>
  <si>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</si>
  <si>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</si>
  <si>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</si>
  <si>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</si>
  <si>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</si>
  <si>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</si>
  <si>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</si>
  <si>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21.15</t>
  </si>
  <si>
    <t>21.15.1</t>
  </si>
  <si>
    <t>CHAPISCO TRAÇO 1:3 PARA ALVENARIA - MURO</t>
  </si>
  <si>
    <t>(73,76+38,25)X2</t>
  </si>
  <si>
    <t>(73,76+38,25)</t>
  </si>
  <si>
    <t>21.15.2</t>
  </si>
  <si>
    <t>21.15.3</t>
  </si>
  <si>
    <t>21.15.4</t>
  </si>
  <si>
    <t>SELADOR ACRÍLICO 1 DEMÃO- MURO</t>
  </si>
  <si>
    <t>PINTURA COM TINTA LÁTEX ACRÍLICA 02 DEMÃOS - MURO</t>
  </si>
  <si>
    <t>21.16</t>
  </si>
  <si>
    <t>PAINEL DE MADEIRA SOBRE ESTRUTURA METÁLICA</t>
  </si>
  <si>
    <t>Ver projeto específico</t>
  </si>
  <si>
    <t>4,23+5,33</t>
  </si>
  <si>
    <t>Ver detalhamento específico</t>
  </si>
  <si>
    <t>21.17</t>
  </si>
  <si>
    <t>LETRA CAIXA</t>
  </si>
  <si>
    <t>ALTURA (CM)</t>
  </si>
  <si>
    <t>22.1</t>
  </si>
  <si>
    <t>LIMPEZA ÁREA INTERNA</t>
  </si>
  <si>
    <t>22.2</t>
  </si>
  <si>
    <t>LIMPEZA CALÇADAS</t>
  </si>
  <si>
    <t>Caçadas do interior do terreno</t>
  </si>
  <si>
    <t>Caçadas Rua 24-A e Rua 09</t>
  </si>
  <si>
    <t xml:space="preserve">LISTA DE MATERIAIS </t>
  </si>
  <si>
    <t>55 pç</t>
  </si>
  <si>
    <t>16 pç</t>
  </si>
  <si>
    <t>Condulete PVC encaixe tipo C 3/4"</t>
  </si>
  <si>
    <t>23 pç</t>
  </si>
  <si>
    <t>Condulete PVC encaixe tipo LL 3/4"</t>
  </si>
  <si>
    <t>Condulete PVC encaixe tipo LR 1"</t>
  </si>
  <si>
    <t>Condulete PVC encaixe tipo LR 3/4"</t>
  </si>
  <si>
    <t>Condulete PVC encaixe tipo T 1"</t>
  </si>
  <si>
    <t>Luva PVC encaixe 3/4"</t>
  </si>
  <si>
    <t>5 pç</t>
  </si>
  <si>
    <t>Rasgo em Alvenaria até 40mm</t>
  </si>
  <si>
    <t>8.55 m</t>
  </si>
  <si>
    <t>Cabo Unipolar (cobre) Isol. XLPE - 0,6/1kV  16 mm²</t>
  </si>
  <si>
    <t>20.9 m</t>
  </si>
  <si>
    <t>Cabo Unipolar (cobre) Isol. XLPE - 0,6/1kV  25 mm²</t>
  </si>
  <si>
    <t>83.6 m</t>
  </si>
  <si>
    <t>Cabo Unipolar (cobre) Isol.PVC - 450/750V   1.5 mm²</t>
  </si>
  <si>
    <t>544.8 m</t>
  </si>
  <si>
    <t>Cabo Unipolar (cobre) Isol.PVC - 450/750V   2.5 mm²</t>
  </si>
  <si>
    <t>860.6 m</t>
  </si>
  <si>
    <t>Cabo Unipolar (cobre) Isol.PVC - 450/750V   4 mm²</t>
  </si>
  <si>
    <t>398 m</t>
  </si>
  <si>
    <t>Caixa de passagem - embutir Aço pintada  300x300x120 mm</t>
  </si>
  <si>
    <t>Caixa de passagem - embutir Aço pintada  400x400x150 mm</t>
  </si>
  <si>
    <t>Interruptor simples - 1 tecla C/ Placa 2x4"</t>
  </si>
  <si>
    <t>Interruptor simples - 1 tecla C/ Placa 2x4" p/ 1 função</t>
  </si>
  <si>
    <t>Interruptor simples - 1 tecla C/ Placa 2x4" p/ 2 funções</t>
  </si>
  <si>
    <t>Interruptor simples - 1 tecla C/ Placa 2x4" p/ 3 funções</t>
  </si>
  <si>
    <t>Tomada hexagonal (NBR 14136) (2) 2P+T 10A - Baixa C/ Placa 2x4"</t>
  </si>
  <si>
    <t>19 pç</t>
  </si>
  <si>
    <t>Tomada hexagonal (NBR 14136) 2P+T 10A Alta C/ Placa 2x4"</t>
  </si>
  <si>
    <t>Tomada hexagonal (NBR 14136) 2P+T 10A Baixa C/ Placa 2x4"</t>
  </si>
  <si>
    <t>32 pç</t>
  </si>
  <si>
    <t>Tomada hexagonal (NBR 14136) 2P+T 10A Média C/ Placa 2x4"</t>
  </si>
  <si>
    <t>Interruptor 1 tecla paralela e tomada hexagonal (NBR14136) S/ placa</t>
  </si>
  <si>
    <t>Interruptor 1 tecla simples e tomada hexagonal (NBR14136) S/ placa</t>
  </si>
  <si>
    <t>Interruptor 2 teclas - simples e paralela separadas S/ placa</t>
  </si>
  <si>
    <t>Tomada hexagonal (NBR 14136) 2P+T 10A S/ placa</t>
  </si>
  <si>
    <t>Tampa  PVC p/ condulete cega</t>
  </si>
  <si>
    <t>Relé fotoelétrico 127V - 1200W resistivo c/ fotocélula</t>
  </si>
  <si>
    <t>Disjuntor Tripolar Termomagnético - norma DIN   100A - 10 kA</t>
  </si>
  <si>
    <t>Disjuntor Unipolar Termomagnético - norma DIN   10 A - 10 kA</t>
  </si>
  <si>
    <t>Disjuntor bipolar termomagnético (220 V/127 V) - DIN   10 A - 5 kA</t>
  </si>
  <si>
    <t>Disjuntor bipolar termomagnético (380 V/220 V) - DIN  16 A - 4.5 kA</t>
  </si>
  <si>
    <t>Disjuntor tripolar termomagnético (220 V/127 V) - DIN  100 A - 40 kA</t>
  </si>
  <si>
    <t>76 pç</t>
  </si>
  <si>
    <t>26 pç</t>
  </si>
  <si>
    <t>Eletroduto  PVC encaixe vara 3,0m 3/4"</t>
  </si>
  <si>
    <t>15.9 m</t>
  </si>
  <si>
    <t>Eletroduto  PVC encaixe vara 3,0m 3/4" em forro</t>
  </si>
  <si>
    <t>65 m</t>
  </si>
  <si>
    <t>Eletroduto PVC flexível leve 1"</t>
  </si>
  <si>
    <t>10 m</t>
  </si>
  <si>
    <t>Eletroduto PVC flexível leve 3/4"</t>
  </si>
  <si>
    <t>277.25 m</t>
  </si>
  <si>
    <t>Eletroduto PVC flexível leve 3/4" em parede</t>
  </si>
  <si>
    <t>Eletroduto PVC flexível pesado 1.1/2"</t>
  </si>
  <si>
    <t>Entrada de serviço - CEMAT (Multiplex) Trifásico T4</t>
  </si>
  <si>
    <t>Luminária embutir p/ fluoresc. Tubular 4x20 W</t>
  </si>
  <si>
    <t>Refletores 10W</t>
  </si>
  <si>
    <t>11 pç</t>
  </si>
  <si>
    <t>Refletores 50W</t>
  </si>
  <si>
    <t>3 pç</t>
  </si>
  <si>
    <t>Lâmpadas Tubular Led 20W</t>
  </si>
  <si>
    <t>92 pç</t>
  </si>
  <si>
    <t>Quadro distrib. chapa pintada - embutir Barr. trif., disj. geral - DIN  Cap. 32 disj. unip. - In barr. 150A</t>
  </si>
  <si>
    <t xml:space="preserve">CABEAMENTO ESTRUTURADO </t>
  </si>
  <si>
    <t>Conector RJ45 (CM8v)</t>
  </si>
  <si>
    <t>PABX 50/300</t>
  </si>
  <si>
    <t>Plugue 110 IDC - 4 pares</t>
  </si>
  <si>
    <t>Plugue RJ45 (CM8v)</t>
  </si>
  <si>
    <t>59 pç</t>
  </si>
  <si>
    <t>Switch (10/100)BaseTX + (1000)Base T (24 + 2) portas</t>
  </si>
  <si>
    <t>Guia de cabos aberto 1U</t>
  </si>
  <si>
    <t>Guia de cabos simples P/ Rack aberto 19"</t>
  </si>
  <si>
    <t>Guias de cabos vertical P/ Rack aberto 19"</t>
  </si>
  <si>
    <t>Condulete alum. encaixe tipo C 1" sem tampa</t>
  </si>
  <si>
    <t>Cabo FTP-5e Blindado (24AWG)</t>
  </si>
  <si>
    <t>84 m</t>
  </si>
  <si>
    <t>Cabo UTP-5e (24AWG)</t>
  </si>
  <si>
    <t>563.5 m</t>
  </si>
  <si>
    <t>Caixa de passagem - embutir Alvenaria 400x400x400mm</t>
  </si>
  <si>
    <t>Caixa de passagem - embutir Alvenaria c/ Tampa 400x400x50mm</t>
  </si>
  <si>
    <t>Caixa de passagem - sobrepor Aço pintada   250x250x100 mm</t>
  </si>
  <si>
    <t>Caixa de passagem - sobrepor Aço pintada   400x400x150 mm</t>
  </si>
  <si>
    <t>1 MÓDULOS RJ45 CAT 6 - CAIXA DE PVC 4X2 ALTA EMBUTIR c/ Placa 2x4" - Branca</t>
  </si>
  <si>
    <t>1 módulo - RJ45 c/ Placa 2x4" - Branca</t>
  </si>
  <si>
    <t>2 MÓDULOS RJ45 CAT 6 - CONDULETE PVC TIPO C 1" c/ Placa 2x4" - Branca</t>
  </si>
  <si>
    <t xml:space="preserve">2 módulos - RJ45 c/ Placa 2x4" - Branca </t>
  </si>
  <si>
    <t>31 pç</t>
  </si>
  <si>
    <t>Eletroduto PVC encaixe vara 3,0m 3/4" em forro</t>
  </si>
  <si>
    <t>22.6 m</t>
  </si>
  <si>
    <t>38.6 m</t>
  </si>
  <si>
    <t>68.5 m</t>
  </si>
  <si>
    <t>Eletroduto PVC pesado 1.1/4"</t>
  </si>
  <si>
    <t>15.5 m</t>
  </si>
  <si>
    <t>Rack Aberto padrão - 19" 12U</t>
  </si>
  <si>
    <t xml:space="preserve">SPDA </t>
  </si>
  <si>
    <t>Barramento de equipotencialização 5 terminais</t>
  </si>
  <si>
    <t>Caixa de inspeção PVC - Ø250x250mm</t>
  </si>
  <si>
    <t>Haste de aterramento - cobreada 3/4" x 2,40m</t>
  </si>
  <si>
    <t>Haste de aterramento - cobreada 3/4" x 3,00m</t>
  </si>
  <si>
    <t>Cabo de cobre Nú - 7 fios 25mm²</t>
  </si>
  <si>
    <t>7.69 m</t>
  </si>
  <si>
    <t>Cabo de cobre Nú - 7 fios 35mm²</t>
  </si>
  <si>
    <t>137.93 m</t>
  </si>
  <si>
    <t>Cabo de cobre Nú - 7 fios 50mm²</t>
  </si>
  <si>
    <t>107.93 m</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</si>
  <si>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</si>
  <si>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</si>
  <si>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</si>
  <si>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</si>
  <si>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</si>
  <si>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</si>
  <si>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</si>
  <si>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</si>
  <si>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</si>
  <si>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</si>
  <si>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</si>
  <si>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</si>
  <si>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</si>
  <si>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</si>
  <si>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</si>
  <si>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</si>
  <si>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</si>
  <si>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</si>
  <si>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</si>
  <si>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</si>
  <si>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</si>
  <si>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</si>
  <si>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</si>
  <si>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</si>
  <si>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</si>
  <si>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</si>
  <si>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</si>
  <si>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</si>
  <si>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</si>
  <si>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</si>
  <si>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</si>
  <si>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</si>
  <si>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</si>
  <si>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</si>
  <si>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</si>
  <si>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</si>
  <si>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</si>
  <si>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</si>
  <si>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</si>
  <si>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</si>
  <si>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</si>
  <si>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</si>
  <si>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</si>
  <si>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</si>
  <si>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</si>
  <si>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</si>
  <si>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</si>
  <si>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</si>
  <si>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</si>
  <si>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</si>
  <si>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</si>
  <si>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</si>
  <si>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COMP ESTR 04</t>
  </si>
  <si>
    <t>4.4.6</t>
  </si>
  <si>
    <t>4.5.8</t>
  </si>
  <si>
    <t>4.5.9</t>
  </si>
  <si>
    <t>4.5.10</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</si>
  <si>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</si>
  <si>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</si>
  <si>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</si>
  <si>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</si>
  <si>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</si>
  <si>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</si>
  <si>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</si>
  <si>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</si>
  <si>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</si>
  <si>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</si>
  <si>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</si>
  <si>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</si>
  <si>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</si>
  <si>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</si>
  <si>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</si>
  <si>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</si>
  <si>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</si>
  <si>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</si>
  <si>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</si>
  <si>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</si>
  <si>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</si>
  <si>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</si>
  <si>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</si>
  <si>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</si>
  <si>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</si>
  <si>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</si>
  <si>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</si>
  <si>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</si>
  <si>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</si>
  <si>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</si>
  <si>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</si>
  <si>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</si>
  <si>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</si>
  <si>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</si>
  <si>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</si>
  <si>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</si>
  <si>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</si>
  <si>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</si>
  <si>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</si>
  <si>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</si>
  <si>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</si>
  <si>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</si>
  <si>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</si>
  <si>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</si>
  <si>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</si>
  <si>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</si>
  <si>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</si>
  <si>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</si>
  <si>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</si>
  <si>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</si>
  <si>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</si>
  <si>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</si>
  <si>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</si>
  <si>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</si>
  <si>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</si>
  <si>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</si>
  <si>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</si>
  <si>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</si>
  <si>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</si>
  <si>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</si>
  <si>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</si>
  <si>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</si>
  <si>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</si>
  <si>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</si>
  <si>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</si>
  <si>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</si>
  <si>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</si>
  <si>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</si>
  <si>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</si>
  <si>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</si>
  <si>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</si>
  <si>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</si>
  <si>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</si>
  <si>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</si>
  <si>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</si>
  <si>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</si>
  <si>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</si>
  <si>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</si>
  <si>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</si>
  <si>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</si>
  <si>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</si>
  <si>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</si>
  <si>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</si>
  <si>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</si>
  <si>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</si>
  <si>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</si>
  <si>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</si>
  <si>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</si>
  <si>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</si>
  <si>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</si>
  <si>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</si>
  <si>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</si>
  <si>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</si>
  <si>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</si>
  <si>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</si>
  <si>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</si>
  <si>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</si>
  <si>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</si>
  <si>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</si>
  <si>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</si>
  <si>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</si>
  <si>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</si>
  <si>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</si>
  <si>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</si>
  <si>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</si>
  <si>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</si>
  <si>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</si>
  <si>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</si>
  <si>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</si>
  <si>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</si>
  <si>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</si>
  <si>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</si>
  <si>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</si>
  <si>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</si>
  <si>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</si>
  <si>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</si>
  <si>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</si>
  <si>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</si>
  <si>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</si>
  <si>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</si>
  <si>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18.5</t>
  </si>
  <si>
    <t>18.6</t>
  </si>
  <si>
    <t>FECHAMENTO E REVESTIMENTO DO MURO</t>
  </si>
  <si>
    <t>PILARES DO MURO</t>
  </si>
  <si>
    <t>5.3</t>
  </si>
  <si>
    <t>5.4</t>
  </si>
  <si>
    <t>5.5</t>
  </si>
  <si>
    <t>5.6</t>
  </si>
  <si>
    <t>5.7</t>
  </si>
  <si>
    <t>5.8</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</si>
  <si>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</si>
  <si>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</si>
  <si>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</si>
  <si>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</si>
  <si>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</si>
  <si>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</si>
  <si>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</si>
  <si>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</si>
  <si>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</si>
  <si>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</si>
  <si>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</si>
  <si>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</si>
  <si>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</si>
  <si>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</si>
  <si>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</si>
  <si>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</si>
  <si>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</si>
  <si>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</si>
  <si>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</si>
  <si>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</si>
  <si>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</si>
  <si>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</si>
  <si>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</si>
  <si>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</si>
  <si>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</si>
  <si>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</si>
  <si>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</si>
  <si>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</si>
  <si>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</si>
  <si>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</si>
  <si>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</si>
  <si>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</si>
  <si>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</si>
  <si>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</si>
  <si>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</si>
  <si>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</si>
  <si>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</si>
  <si>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</si>
  <si>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</si>
  <si>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</si>
  <si>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</si>
  <si>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</si>
  <si>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</si>
  <si>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</si>
  <si>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</si>
  <si>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COMP ESTR 07</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</si>
  <si>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</si>
  <si>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</si>
  <si>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</si>
  <si>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</si>
  <si>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</si>
  <si>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</si>
  <si>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</si>
  <si>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</si>
  <si>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</si>
  <si>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</si>
  <si>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</si>
  <si>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</si>
  <si>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</si>
  <si>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</si>
  <si>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</si>
  <si>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</si>
  <si>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</si>
  <si>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</si>
  <si>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</si>
  <si>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</si>
  <si>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</si>
  <si>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</si>
  <si>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</si>
  <si>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</si>
  <si>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</si>
  <si>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</si>
  <si>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</si>
  <si>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</si>
  <si>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</si>
  <si>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</si>
  <si>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LEVANTAMENTO QUANTITATIVO DA SEMA DUDS TANGARÁ DA SERRA - R01</t>
  </si>
  <si>
    <t>LAJES TRELIÇADAS TR10644</t>
  </si>
  <si>
    <t>LAJE TRELIÇADA COM ENCHIMENTO EM EPS UNIDIRECIONAL B10/40/49</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</si>
  <si>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</si>
  <si>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</si>
  <si>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</si>
  <si>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</si>
  <si>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</si>
  <si>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</si>
  <si>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</si>
  <si>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t>P5 - 2 folhas</t>
  </si>
  <si>
    <t>PORTA DE ABRIR EM ALUMÍNIO E VIDRO 8MM  - 2 FOLHAS</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</si>
  <si>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</si>
  <si>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</si>
  <si>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</si>
  <si>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</si>
  <si>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1,50X2,45 M, COM ACIONAMENTO ELÉTRICO</t>
  </si>
  <si>
    <t>FORNECIMENTO E INSTALAÇÃO DE PORTÃO DE CORRER DE  3,90X2,45 M, COM ACIONAMENTO ELÉTRICO</t>
  </si>
  <si>
    <t>FORNECIMENTO E INSTALAÇÃO DE PORTÃO DE CORRER, 2 FOLHAS, DE  3,90X2,45 M, COM ACIONAMENTO ELÉTRICO</t>
  </si>
  <si>
    <t>ESQUADRIAS EM FERRO</t>
  </si>
  <si>
    <t>FACHADA</t>
  </si>
  <si>
    <t>18.7</t>
  </si>
  <si>
    <t>18.8</t>
  </si>
  <si>
    <t>18.9</t>
  </si>
  <si>
    <t>18.10</t>
  </si>
  <si>
    <t>18.12</t>
  </si>
  <si>
    <t>18.13</t>
  </si>
  <si>
    <t>18.14</t>
  </si>
  <si>
    <t>COMP 05</t>
  </si>
  <si>
    <t xml:space="preserve">PORTA EM ALUMÍNIO ANODIZADO DE ABRIR, 2 FOLHAS, PARA VIDRO COM GUARNIÇÃO, INCLUSIVE VIDROS - FORNECIMENTO E INSTALAÇÃO. </t>
  </si>
  <si>
    <t>Composição de referência para os coeficientes de consumo: 1821/ORSE-DEZ/2020</t>
  </si>
  <si>
    <t>P1 - 2 folhas</t>
  </si>
  <si>
    <t>FORNECIMENTO E INSTALAÇÃO DE MOTOR PARA ACIONAMENTO ELÉTRICO DE PORTÃO COM DOIS CONTROLES REMOTOS</t>
  </si>
  <si>
    <t>FORNECIMENTO E INSTALAÇÃO MOTOR PARA ACIONAMENTO ELÉTRICO DE PORTÃO COM DOIS CONTROLES REMOTOS</t>
  </si>
  <si>
    <t xml:space="preserve">P3 </t>
  </si>
  <si>
    <t xml:space="preserve">FORNECIMENTO E INSTALAÇÃO DE MOTOR PARA ACIONAMENTO ELÉTRICO DE PORTÃO </t>
  </si>
  <si>
    <t>PORTA DE ABRIR DE FERRO EM CHAPA CORRUGADA, COM DUAS FOLHAS, DE 1,60X2,10 M</t>
  </si>
  <si>
    <t>CÁLCULA-SE EM VOLUME (m³) MULTIPLICANDO A ÁREA DO TERRENO A SER LIMPA E DESTOCADA POR UMA ALTURA DE 20 CM E SE FOR SOMENTE LIMPEZA SEM DESTOCAR ESSA ALTURA É DE 15 CM.</t>
  </si>
  <si>
    <r>
      <t>PORTA DE ABRIR DE FERRO EM CHAPA CORRUGADA, 2 FOLHAS</t>
    </r>
    <r>
      <rPr>
        <sz val="11"/>
        <color rgb="FFFF0000"/>
        <rFont val="Arial"/>
        <family val="2"/>
      </rPr>
      <t xml:space="preserve">, </t>
    </r>
    <r>
      <rPr>
        <sz val="11"/>
        <rFont val="Arial"/>
        <family val="2"/>
      </rPr>
      <t>DE 1,60X2,10 M</t>
    </r>
  </si>
  <si>
    <t>33,36 - 3,36=30m</t>
  </si>
  <si>
    <t>57,30 - 23 = 34,30</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</si>
  <si>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</si>
  <si>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</si>
  <si>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</si>
  <si>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</si>
  <si>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</si>
  <si>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</si>
  <si>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</si>
  <si>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</si>
  <si>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</si>
  <si>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</si>
  <si>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ALVENARIA DE VEDAÇÃO COM ELEMENTO VAZADO DE CONCRETO (COBOGÓ) DE 7X50X50CM E ARGAMASSA DE ASSENTAMENTO COM PREPARO EM BETONEIRA. AF_05/2020</t>
  </si>
  <si>
    <t>H= 0,07m -------- 0,188 m²                                                                                 H=0,15m ------- X                                                                                                                      X = 0,4028 m²</t>
  </si>
  <si>
    <t>GUIA (MEIO-FIO) CONCRETO, MOLDADA IN LOCO EM TRECHO CURVO COM EXTRUSORA, 15 CM BASE X 30 CM ALTURA. AF_06/2016</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</si>
  <si>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</si>
  <si>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</si>
  <si>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</si>
  <si>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</si>
  <si>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</si>
  <si>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</si>
  <si>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311 un * 0,25m = 77,75</t>
  </si>
  <si>
    <t>metros</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</si>
  <si>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</si>
  <si>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</si>
  <si>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</si>
  <si>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</si>
  <si>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</si>
  <si>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</si>
  <si>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</si>
  <si>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</si>
  <si>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</si>
  <si>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</si>
  <si>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</si>
  <si>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</si>
  <si>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</si>
  <si>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</si>
  <si>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</si>
  <si>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</si>
  <si>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</si>
  <si>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</si>
  <si>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</si>
  <si>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</si>
  <si>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</si>
  <si>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</si>
  <si>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</si>
  <si>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</si>
  <si>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</si>
  <si>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</si>
  <si>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</si>
  <si>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</si>
  <si>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</si>
  <si>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</si>
  <si>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</si>
  <si>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</si>
  <si>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</si>
  <si>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</si>
  <si>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</si>
  <si>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</si>
  <si>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</si>
  <si>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</si>
  <si>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</si>
  <si>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</si>
  <si>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</si>
  <si>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</si>
  <si>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</si>
  <si>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</si>
  <si>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</si>
  <si>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</si>
  <si>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</si>
  <si>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</si>
  <si>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</si>
  <si>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</si>
  <si>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</si>
  <si>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</si>
  <si>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</si>
  <si>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</si>
  <si>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</si>
  <si>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</si>
  <si>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</si>
  <si>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16</t>
  </si>
  <si>
    <t>Composição de referência para os coeficientes de consumo: 12336/ORSE-02/2021</t>
  </si>
  <si>
    <t>CABO ELETRÔNICO CATEGORIA 5E, INSTALADO EM EDIFICAÇÃO INSTITUCIONAL - FORNECIMENTO E INSTALAÇÃO. AF_11/2019</t>
  </si>
  <si>
    <t>UTP - 5E</t>
  </si>
  <si>
    <t>Composição de referência para os coeficientes de consumo: 66.20.150/CPOS-MAR/21</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</si>
  <si>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</si>
  <si>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</si>
  <si>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</si>
  <si>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</si>
  <si>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Composição de referência para os coeficientes de consumo: 40.20.240/CPOS-JUN/20</t>
  </si>
  <si>
    <t>PLUGUE 110 IDC - 4 PARES</t>
  </si>
  <si>
    <t xml:space="preserve">BRAÇADEIRA TIPO CUNHA </t>
  </si>
  <si>
    <t>CABO DE REDE FTP 5E 24 AWG</t>
  </si>
  <si>
    <t>(CABO BLINDADO)</t>
  </si>
  <si>
    <t>FORNECIMENTO E INSTALAÇÃO DE CENTRAL TELEFÔNICA PABX</t>
  </si>
  <si>
    <t>CABO DE REDE FTP 5E (24 AWG)</t>
  </si>
  <si>
    <t>Composição de referência para os coeficientes de consumo: Serviço de Terceiro</t>
  </si>
  <si>
    <t>CABO DE REDE BLINDADO FTP 5E 24 AWG</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</si>
  <si>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</si>
  <si>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</si>
  <si>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</si>
  <si>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</si>
  <si>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</si>
  <si>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</si>
  <si>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</si>
  <si>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</si>
  <si>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</si>
  <si>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</si>
  <si>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</si>
  <si>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</si>
  <si>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COMP ELE 19</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</si>
  <si>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</si>
  <si>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</si>
  <si>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</si>
  <si>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</si>
  <si>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</si>
  <si>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</si>
  <si>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COMP ELE 21</t>
  </si>
  <si>
    <t>COMP ELE 22</t>
  </si>
  <si>
    <r>
      <t xml:space="preserve">Interruptor simples - 1 tecla C/ </t>
    </r>
    <r>
      <rPr>
        <sz val="10"/>
        <color rgb="FFFF0000"/>
        <rFont val="Arial"/>
        <family val="2"/>
      </rPr>
      <t>Placa 2x4" c/ furo</t>
    </r>
  </si>
  <si>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</si>
  <si>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</si>
  <si>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</si>
  <si>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</si>
  <si>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</si>
  <si>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</si>
  <si>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</si>
  <si>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</si>
  <si>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</si>
  <si>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</si>
  <si>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</si>
  <si>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</si>
  <si>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</si>
  <si>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</si>
  <si>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DISJUNTOR TERMOMAGNETICO TRIPOLAR DIN 100A ,40 KA FORNECIMENTO E INSTALACAO</t>
  </si>
  <si>
    <t xml:space="preserve">DISJUNTOR TERMOMAGNETICO TRIPOLAR DIN 100A ,40 KA </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</si>
  <si>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</si>
  <si>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</si>
  <si>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</si>
  <si>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</si>
  <si>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r>
      <rPr>
        <sz val="10"/>
        <color rgb="FFFF0000"/>
        <rFont val="Arial"/>
        <family val="2"/>
      </rPr>
      <t>Eletroduto PVC encaixe</t>
    </r>
    <r>
      <rPr>
        <sz val="10"/>
        <color theme="1"/>
        <rFont val="Arial"/>
        <family val="2"/>
      </rPr>
      <t xml:space="preserve"> Braçadeira galvan. tipo cunha 3/4"</t>
    </r>
  </si>
  <si>
    <r>
      <rPr>
        <sz val="10"/>
        <color rgb="FFFF0000"/>
        <rFont val="Arial"/>
        <family val="2"/>
      </rPr>
      <t>Eletroduto PVC encaixe</t>
    </r>
    <r>
      <rPr>
        <sz val="10"/>
        <color theme="1"/>
        <rFont val="Arial"/>
        <family val="2"/>
      </rPr>
      <t xml:space="preserve"> Braçadeira galvan. tipo unha 3/4"</t>
    </r>
  </si>
  <si>
    <t xml:space="preserve">LUMINÁRIA TIPO CALHA, DE EMBUTIR, COM 4 LÂMPADAS TUBULARES LED DE 20 W - FORNECIMENTO E INSTALAÇÃO. </t>
  </si>
  <si>
    <t>ELETRODUTO FLEXÍVEL CORRUGADO, PVC, DN 25 MM (3/4"), PARA CIRCUITOS TERMINAIS, INSTALADO EM PAREDE - FORNECIMENTO E INSTALAÇÃO. AF_12/2015</t>
  </si>
  <si>
    <t>Composição de referência para os coeficientes de consumo: 171411/SEDOP-04/2020</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</si>
  <si>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</si>
  <si>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</si>
  <si>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</si>
  <si>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</si>
  <si>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</si>
  <si>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</si>
  <si>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</si>
  <si>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</si>
  <si>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</si>
  <si>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</si>
  <si>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</si>
  <si>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</si>
  <si>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</si>
  <si>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</si>
  <si>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</si>
  <si>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</si>
  <si>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</si>
  <si>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</si>
  <si>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</si>
  <si>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</si>
  <si>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</si>
  <si>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</si>
  <si>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</si>
  <si>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</si>
  <si>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</si>
  <si>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</si>
  <si>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</si>
  <si>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</si>
  <si>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42.422.594/0001-79</t>
  </si>
  <si>
    <t>RP - SEGURANÇA ELETRÔNICA</t>
  </si>
  <si>
    <t>JS - SEGURANÇA ELETRÔNICA</t>
  </si>
  <si>
    <t>13.882.751/0001-20</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</si>
  <si>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</si>
  <si>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</si>
  <si>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</si>
  <si>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</si>
  <si>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</si>
  <si>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</si>
  <si>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7+12=19 ( 7 OITIS + 9 IPÊS)</t>
  </si>
  <si>
    <t>SINGÔNIO - JD INTERNO</t>
  </si>
  <si>
    <t>PLANTIO DE FORRAÇÃO. AF_05/2018</t>
  </si>
  <si>
    <t>COMP 27</t>
  </si>
  <si>
    <t>COMP 28</t>
  </si>
  <si>
    <t>FORNECIMENTO E ESPALHAMENTO DE TERRA VEGETAL PREPARADA</t>
  </si>
  <si>
    <t>209,24m²*0,05m=10,46m³</t>
  </si>
  <si>
    <t>Composição de referência para os coeficientes de consumo: 2394/ORSE - 02/2021</t>
  </si>
  <si>
    <t>TERRA VEGETAL</t>
  </si>
  <si>
    <t>EXECUÇÃO DE PASSEIO (CALÇADA) OU PISO DE CONCRETO COM CONCRETO MOLDADO IN LOCO, FEITO EM OBRA, ACABAMENTO CONVENCIONAL, ESPESSURA 8 CM, ARMADO. AF_07/2016</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</si>
  <si>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</si>
  <si>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</si>
  <si>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</si>
  <si>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</si>
  <si>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</si>
  <si>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</si>
  <si>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</si>
  <si>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</si>
  <si>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</si>
  <si>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</si>
  <si>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</si>
  <si>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</si>
  <si>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</si>
  <si>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</si>
  <si>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</si>
  <si>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</si>
  <si>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</si>
  <si>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</si>
  <si>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</si>
  <si>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</si>
  <si>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</si>
  <si>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</si>
  <si>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</si>
  <si>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</si>
  <si>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</si>
  <si>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</si>
  <si>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</si>
  <si>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</si>
  <si>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</si>
  <si>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</si>
  <si>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</si>
  <si>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</si>
  <si>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11.1.42</t>
  </si>
  <si>
    <t>11.1.43</t>
  </si>
  <si>
    <t>11.1.44</t>
  </si>
  <si>
    <t>11.1.45</t>
  </si>
  <si>
    <t>11.1.46</t>
  </si>
  <si>
    <t>11.1.47</t>
  </si>
  <si>
    <t>11.1.48</t>
  </si>
  <si>
    <t>11.1.49</t>
  </si>
  <si>
    <t>11.1.50</t>
  </si>
  <si>
    <t>11.2.9</t>
  </si>
  <si>
    <t>11.2.21</t>
  </si>
  <si>
    <t>11.2.22</t>
  </si>
  <si>
    <t>11.2.23</t>
  </si>
  <si>
    <t>11.2.24</t>
  </si>
  <si>
    <t>11.2.25</t>
  </si>
  <si>
    <t>11.2.26</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</si>
  <si>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</si>
  <si>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</si>
  <si>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</si>
  <si>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</si>
  <si>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</si>
  <si>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</si>
  <si>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</si>
  <si>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</si>
  <si>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m131</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</si>
  <si>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</si>
  <si>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</si>
  <si>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</si>
  <si>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</si>
  <si>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</si>
  <si>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</si>
  <si>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</si>
  <si>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</si>
  <si>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</si>
  <si>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15.930.198/0001-80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</si>
  <si>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</si>
  <si>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</si>
  <si>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</si>
  <si>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</si>
  <si>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</si>
  <si>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</si>
  <si>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</si>
  <si>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</si>
  <si>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</si>
  <si>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</si>
  <si>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</si>
  <si>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</si>
  <si>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</si>
  <si>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</si>
  <si>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</si>
  <si>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</si>
  <si>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</si>
  <si>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</si>
  <si>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</si>
  <si>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</si>
  <si>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</si>
  <si>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</si>
  <si>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</si>
  <si>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</si>
  <si>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</si>
  <si>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</si>
  <si>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</si>
  <si>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</si>
  <si>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</si>
  <si>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</si>
  <si>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</si>
  <si>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</si>
  <si>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</si>
  <si>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</si>
  <si>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</si>
  <si>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 xml:space="preserve">2 UN </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</si>
  <si>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</si>
  <si>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</si>
  <si>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</si>
  <si>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</si>
  <si>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</si>
  <si>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</si>
  <si>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</si>
  <si>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</si>
  <si>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 xml:space="preserve">1 UN </t>
  </si>
  <si>
    <t>Joelho 90 soldável c/ rosca 25 mm - 3/4"</t>
  </si>
  <si>
    <t xml:space="preserve">Joelho de redução soldável c/ rosca 25 mm - 1/2" </t>
  </si>
  <si>
    <t>Luva soldável c/ rosca 25 mm -3/4"</t>
  </si>
  <si>
    <t>Bucha de redução sold. Longa 50 mm - 25 mm</t>
  </si>
  <si>
    <t>55,66 m</t>
  </si>
  <si>
    <t>14,87 m</t>
  </si>
  <si>
    <t>Tê de redução 90 soldável  50 mm - 25 mm</t>
  </si>
  <si>
    <t xml:space="preserve">5 un </t>
  </si>
  <si>
    <t xml:space="preserve">2 un </t>
  </si>
  <si>
    <t>Joelho 90º soldável com  bucha de latão  25 mm - 3/4"</t>
  </si>
  <si>
    <t xml:space="preserve">1 un </t>
  </si>
  <si>
    <t>Joelho de redução 90º soldável com bucha de latão 3/4" - 1/2"</t>
  </si>
  <si>
    <t xml:space="preserve">9 un </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</si>
  <si>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</si>
  <si>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</si>
  <si>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</si>
  <si>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</si>
  <si>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</si>
  <si>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</si>
  <si>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</si>
  <si>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</si>
  <si>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</si>
  <si>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</si>
  <si>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</si>
  <si>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</si>
  <si>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</si>
  <si>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</si>
  <si>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</si>
  <si>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</si>
  <si>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</si>
  <si>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</si>
  <si>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</si>
  <si>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</si>
  <si>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</si>
  <si>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</si>
  <si>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</si>
  <si>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</si>
  <si>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</si>
  <si>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</si>
  <si>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</si>
  <si>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</si>
  <si>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</si>
  <si>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</si>
  <si>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</si>
  <si>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</si>
  <si>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</si>
  <si>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</si>
  <si>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</si>
  <si>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</si>
  <si>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</si>
  <si>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</si>
  <si>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</si>
  <si>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</si>
  <si>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</si>
  <si>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</si>
  <si>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</si>
  <si>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</si>
  <si>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</si>
  <si>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</si>
  <si>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</si>
  <si>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</si>
  <si>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</si>
  <si>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</si>
  <si>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</si>
  <si>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</si>
  <si>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</si>
  <si>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</si>
  <si>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</si>
  <si>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</si>
  <si>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</si>
  <si>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</si>
  <si>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</si>
  <si>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</si>
  <si>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</si>
  <si>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</si>
  <si>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</si>
  <si>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</si>
  <si>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</si>
  <si>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</si>
  <si>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</si>
  <si>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</si>
  <si>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</si>
  <si>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</si>
  <si>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</si>
  <si>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</si>
  <si>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</si>
  <si>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</si>
  <si>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</si>
  <si>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</si>
  <si>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</si>
  <si>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</si>
  <si>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</si>
  <si>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</si>
  <si>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</si>
  <si>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</si>
  <si>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</si>
  <si>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</si>
  <si>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</si>
  <si>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</si>
  <si>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</si>
  <si>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</si>
  <si>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</si>
  <si>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</si>
  <si>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</si>
  <si>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</si>
  <si>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</si>
  <si>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</si>
  <si>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</si>
  <si>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</si>
  <si>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</si>
  <si>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</si>
  <si>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</si>
  <si>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</si>
  <si>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</si>
  <si>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</si>
  <si>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</si>
  <si>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</si>
  <si>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</si>
  <si>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</si>
  <si>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</si>
  <si>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</si>
  <si>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</si>
  <si>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</si>
  <si>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</si>
  <si>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</si>
  <si>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</si>
  <si>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</si>
  <si>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Profundidade Total do Sumidouro (Pts)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</si>
  <si>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</si>
  <si>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</si>
  <si>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</si>
  <si>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</si>
  <si>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</si>
  <si>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</si>
  <si>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</si>
  <si>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</si>
  <si>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</si>
  <si>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ARMAÇÃO BASE E TAMPA:                                                                                                                37,765 * 2 = 75,53</t>
  </si>
  <si>
    <t>193,72 + 9,03(ETE) = 202,75</t>
  </si>
  <si>
    <t>COMP ETE 01</t>
  </si>
  <si>
    <t>ALVENARIA + CHAMINÉ =                                                                                                                                                      18,08+0,62 =18,70 m²</t>
  </si>
  <si>
    <t>COMPOSIÇÕES UNITÁRIAS DE PREÇO DE ESGOTAMENTO SANITÁRIO</t>
  </si>
  <si>
    <t>Lista de Materiais Sanitario</t>
  </si>
  <si>
    <t>Caixas de Passagem</t>
  </si>
  <si>
    <t>Cx  Inspeção Sifon 60X60 cm</t>
  </si>
  <si>
    <t>3 pç</t>
  </si>
  <si>
    <t>CX GORDURA PVC 30 cm</t>
  </si>
  <si>
    <t>1 pç</t>
  </si>
  <si>
    <t>PVC Esgoto</t>
  </si>
  <si>
    <t>Joelho 45  -  100 mm</t>
  </si>
  <si>
    <t>7 pç</t>
  </si>
  <si>
    <t xml:space="preserve">                   -   50 mm</t>
  </si>
  <si>
    <t>4 pç</t>
  </si>
  <si>
    <t>Joelho 90  - 100 mm</t>
  </si>
  <si>
    <t xml:space="preserve">                  - 50 mm</t>
  </si>
  <si>
    <t xml:space="preserve">                   -75 mm</t>
  </si>
  <si>
    <t>2 pç</t>
  </si>
  <si>
    <t xml:space="preserve">                  - 40 mm</t>
  </si>
  <si>
    <t>Junção simples</t>
  </si>
  <si>
    <t xml:space="preserve">                   -   100 mm - 50 mm</t>
  </si>
  <si>
    <t xml:space="preserve">                   -  100 mm- 100 mm</t>
  </si>
  <si>
    <t xml:space="preserve">                   -   50 mm - 50 mm</t>
  </si>
  <si>
    <t>Terminal de ventilação</t>
  </si>
  <si>
    <t xml:space="preserve">                   - 50 mm</t>
  </si>
  <si>
    <t>8 pç</t>
  </si>
  <si>
    <t xml:space="preserve">                   - 75 mm</t>
  </si>
  <si>
    <t>Tubo rígido c/ ponta lisa</t>
  </si>
  <si>
    <t xml:space="preserve">                  - 100 mm - 4"</t>
  </si>
  <si>
    <t>22.94 m</t>
  </si>
  <si>
    <t>9.72 m</t>
  </si>
  <si>
    <t xml:space="preserve">                 - 50 mm - 2"</t>
  </si>
  <si>
    <t>29.38 m</t>
  </si>
  <si>
    <t xml:space="preserve">                - 75 mm - 3"</t>
  </si>
  <si>
    <t>1.84 m</t>
  </si>
  <si>
    <t>Tê sanitário</t>
  </si>
  <si>
    <t xml:space="preserve">                         - 100 mm - 75 mm</t>
  </si>
  <si>
    <t xml:space="preserve">                         - 50 mm - 50 mm</t>
  </si>
  <si>
    <t>5 pç</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</si>
  <si>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</si>
  <si>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</si>
  <si>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</si>
  <si>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</si>
  <si>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</si>
  <si>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</si>
  <si>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</si>
  <si>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</si>
  <si>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20 mm - 1/2"</t>
  </si>
  <si>
    <t xml:space="preserve">                                          25 mm - 3/4"</t>
  </si>
  <si>
    <t xml:space="preserve">                                                      25 mm - 3/4"</t>
  </si>
  <si>
    <t xml:space="preserve">                                        50 mm- 1.1/2"</t>
  </si>
  <si>
    <t xml:space="preserve">                                                    50 mm- 1.1/2"</t>
  </si>
  <si>
    <t xml:space="preserve">                                                 25 mm - 3/4"</t>
  </si>
  <si>
    <t xml:space="preserve">                                                50 mm- 1.1/2"</t>
  </si>
  <si>
    <t xml:space="preserve">                                              25 mm - 3/4"</t>
  </si>
  <si>
    <t xml:space="preserve">                                             25 mm - 3/4"</t>
  </si>
  <si>
    <t xml:space="preserve">                                            50 mm- 1.1/2"</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</si>
  <si>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</si>
  <si>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</si>
  <si>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</si>
  <si>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</si>
  <si>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</si>
  <si>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</si>
  <si>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</si>
  <si>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</si>
  <si>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                                                              - 40 mm</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</si>
  <si>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</si>
  <si>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</si>
  <si>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</si>
  <si>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</si>
  <si>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</si>
  <si>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</si>
  <si>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</si>
  <si>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</si>
  <si>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</si>
  <si>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</si>
  <si>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</si>
  <si>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</si>
  <si>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</si>
  <si>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</si>
  <si>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</si>
  <si>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</si>
  <si>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</si>
  <si>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</si>
  <si>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</si>
  <si>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</si>
  <si>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</si>
  <si>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</si>
  <si>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</si>
  <si>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</si>
  <si>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</si>
  <si>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</si>
  <si>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</si>
  <si>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</si>
  <si>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</si>
  <si>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</si>
  <si>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</si>
  <si>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</si>
  <si>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</si>
  <si>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</si>
  <si>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</si>
  <si>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</si>
  <si>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</si>
  <si>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</si>
  <si>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</si>
  <si>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</si>
  <si>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</si>
  <si>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</si>
  <si>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</si>
  <si>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</si>
  <si>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</si>
  <si>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</si>
  <si>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</si>
  <si>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</si>
  <si>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</si>
  <si>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</si>
  <si>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</si>
  <si>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</si>
  <si>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</si>
  <si>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</si>
  <si>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</si>
  <si>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</si>
  <si>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</si>
  <si>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ARAME GALVANIZADO 18 BWG, D = 1,24MM (0,009 KG/M)</t>
  </si>
  <si>
    <t>16.5</t>
  </si>
  <si>
    <t>16.6</t>
  </si>
  <si>
    <t>LIMPEZA DE PISO CERÂMICO OU PORCELANATO COM PANO ÚMIDO. AF_04/2019</t>
  </si>
  <si>
    <t>LIMPEZA DE REVESTIMENTO CERÂMICO EM PAREDE COM PANO ÚMIDO AF_04/2019</t>
  </si>
  <si>
    <t>CALÇADAS INTERNAS E EXTERNAS</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</si>
  <si>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</si>
  <si>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</si>
  <si>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</si>
  <si>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</si>
  <si>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</si>
  <si>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</si>
  <si>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</si>
  <si>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</si>
  <si>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</si>
  <si>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</si>
  <si>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r>
      <t xml:space="preserve">Banheiro PNE Masc.                                         </t>
    </r>
    <r>
      <rPr>
        <sz val="9"/>
        <color indexed="10"/>
        <rFont val="Arial"/>
        <family val="2"/>
      </rPr>
      <t xml:space="preserve">  (</t>
    </r>
    <r>
      <rPr>
        <sz val="9"/>
        <rFont val="Arial"/>
        <family val="2"/>
      </rPr>
      <t>1,85+1,85+1,65+1,65)</t>
    </r>
  </si>
  <si>
    <r>
      <t>Banheiro PNE Fem</t>
    </r>
    <r>
      <rPr>
        <sz val="9"/>
        <color indexed="10"/>
        <rFont val="Arial"/>
        <family val="2"/>
      </rPr>
      <t>.                             (</t>
    </r>
    <r>
      <rPr>
        <sz val="9"/>
        <rFont val="Arial"/>
        <family val="2"/>
      </rPr>
      <t>1,85+1,85+1,65+1,65)</t>
    </r>
  </si>
  <si>
    <t>MASSA ÚNICA PARA PAREDES INTERNAS</t>
  </si>
  <si>
    <t>ÁREA TOTAL MASSA ÚNICA PARA PINTURA</t>
  </si>
  <si>
    <r>
      <t>ÁREA TOTAL DA MASSA ÚNICA</t>
    </r>
    <r>
      <rPr>
        <b/>
        <sz val="9"/>
        <color indexed="10"/>
        <rFont val="Arial"/>
        <family val="2"/>
      </rPr>
      <t xml:space="preserve"> </t>
    </r>
    <r>
      <rPr>
        <b/>
        <sz val="9"/>
        <rFont val="Arial"/>
        <family val="2"/>
      </rPr>
      <t>PARA REVESTIMENTO CERÂMICO</t>
    </r>
  </si>
  <si>
    <t>ÁREA (M³)</t>
  </si>
  <si>
    <t>ÁREA TOTAL CONCRETO (M³)</t>
  </si>
  <si>
    <t>ÁREA TOTAL DO CHAPISCO PARA REVESTIMENTO CERÂMICO</t>
  </si>
  <si>
    <t>ÁREA TOTAL DE REVESTIMENTO CERÂMICO</t>
  </si>
  <si>
    <t>MASSA ÚNICA PARA RECEBIMENTO DE PINTURA - PAREDES EXTERNAS</t>
  </si>
  <si>
    <t xml:space="preserve">MASSA ÚNICA PARA LAJE </t>
  </si>
  <si>
    <t>FRONTÃO = 7m</t>
  </si>
  <si>
    <t>ÁREA TOTAL DO SELADOR PARA PAREDES INTERNAS, UMA DEMÃO.</t>
  </si>
  <si>
    <t>ÁREA TOTAL DO EMASSAMENTO DE PAREDES INTERNAS</t>
  </si>
  <si>
    <t>ÁREA TOTAL DA PINTURA ACRÍLICA EM PAREDES INTERNAS DUAS DEMÃOS</t>
  </si>
  <si>
    <t>ÁREA TOTAL DO SELADOR PARA PAREDES EXTERNAS, UMA DEMÃO</t>
  </si>
  <si>
    <t>ÁREA TOTAL DA TEXTURA PARA PAREDES EXTERNAS, DUAS DEMÃO</t>
  </si>
  <si>
    <r>
      <t xml:space="preserve">15,70+19,2+15,2+12,20+33,60+22,70+13,30 = </t>
    </r>
    <r>
      <rPr>
        <b/>
        <sz val="9"/>
        <rFont val="Arial"/>
        <family val="2"/>
      </rPr>
      <t>131,90</t>
    </r>
  </si>
  <si>
    <t>SEM BEIRAL</t>
  </si>
  <si>
    <t>APLICAÇÃO DE FUNDO SELADOR ACRÍLICO EM TETO, UMA DEMÃO. AF_06/2014</t>
  </si>
  <si>
    <t>APLICAÇÃO MANUAL DE PINTURA COM TINTA LÁTEX ACRÍLICA EM TETO, DUAS DEMÃOS. AF_06/2014</t>
  </si>
  <si>
    <t xml:space="preserve">TEXTURA PARA BEIRAL </t>
  </si>
  <si>
    <t>MASSA TEXTURIZADA ACRÍLICA</t>
  </si>
  <si>
    <t>TINTA ACRÍLICA</t>
  </si>
  <si>
    <t>9.2.4</t>
  </si>
  <si>
    <t>9.2.5</t>
  </si>
  <si>
    <t>BLOCOS DE COROAMENTO DE ESTACA DE CONCRETO</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</si>
  <si>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</si>
  <si>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</si>
  <si>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</si>
  <si>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</si>
  <si>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</si>
  <si>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</si>
  <si>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</si>
  <si>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</si>
  <si>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ALUMINIA - Esquadrias de Alumínio e PVC</t>
  </si>
  <si>
    <t>4 LETRAS DE 40CM</t>
  </si>
  <si>
    <t>46 LETRAS DE 20CM</t>
  </si>
  <si>
    <t>MASSA ÚNICA TRAÇO 1:4 - MURO</t>
  </si>
  <si>
    <t>1499,19M²*0,2M=299,84M³</t>
  </si>
  <si>
    <t>3.2</t>
  </si>
  <si>
    <t>LIMPEZA TERRENO MAIS ATERRO DE BALDRAME, DE MURETA E DA ETE</t>
  </si>
  <si>
    <t>171,26 m³</t>
  </si>
  <si>
    <t xml:space="preserve">Pedro Miguel Araújo do Santo                                                                                                                                                                                                                                                                                                                                                                                                                                                                                                                                                                                            Engenheiro Civil                                                                                                                                                                                                                                                                                                                                                                                                                                                                                                                                                                                                                                                                                                                                                                                                                                                                                                                                                                                                                                          CREA/MT: 045 990                    </t>
  </si>
  <si>
    <t xml:space="preserve">  Data:  ____ / ____ / _____.</t>
  </si>
  <si>
    <t xml:space="preserve">Renan Paris de Souza                                                                                                                                                                                                                                                                                                                                                                                                                                                                                                                                                                                          Engenheiro Civil                                                                                                                                                                                                                                                                                                                                                                                                                                                                                                                                                                                                                                                                                                                                                                                                                                                                                                                                                                                                                                          CREA/MT: 100728754-3                </t>
  </si>
  <si>
    <t xml:space="preserve">                                                                                                                                                                                                                                                                                </t>
  </si>
  <si>
    <t xml:space="preserve"> Andreia Aragão                                                                                                                                                                                                                                                                                                                                                                                                                                                                                                                                                                                                                                                                                                                                                                                                                                                                                                                                                                                                                                                                                                                                                                                                                                                                                                                                                                                                                                                                                                                                                                                                                                                                                                                                                                                                                                                                                                                                                                                                                                                                                                                                                                                                                                                                                                                                                                                                                                                                                                                                                                                                                                                                                                                                                                                                                                                                                                                                                                                                                                                                                                                                                                                                                                                                                                                                                                                                                                                                                                                                                                                                                                                                                                                                                                                                                                                                                                                                                                                                                                                                                                                                                                                                                                                                                                                                                                                                                                                                                                                                                                                                                                                                                                                                                                                                                                                                                                                                                                                                                                                                                                                                                                                                                                                                         Arquiteta                                                                                                                                                                                                                                                                                                                                                                                                                                                                                                                                                                                                                                                                                                                                                                                                                                                                                                                                                                                                                                                                                                                                                                                             CAU: 79405-8                   </t>
  </si>
  <si>
    <t xml:space="preserve">Adelmo Barros                                                                                                                                                                                                                                                                                                                                                                                                                                                                                                                                                                                                                                                                                                                                                                                                                                                                                                                                                                                                                                                                                                                                                                                                                                                                                                                                                                                                                                                                                                                                                                                                                                                                                                                                                                                                                                                                                                                                                             Engenheiro Sanitarista                                                                                                                                                                                                                                                                                                                                                                                                                                                                                                                                                                                                                                                                                                                                                                                                                                                                                                                                                                                                                                                                                                                                                                                                                                                                                                                                                                                                                                                                                                                                                                                                                                                                                                                                                                                                                                                                                                                                                                                                                                                                                                                                        CREA/MT:                </t>
  </si>
  <si>
    <t xml:space="preserve">Data: </t>
  </si>
  <si>
    <t xml:space="preserve">Murilo Felipe Rebelato                                                                                                                                                                                                                                                                                                                                                                                                                                                                                                                                                                                       Engenheiro Eletricista                                                                                                                                                                                                                                                                                                                                                                                                                                                                                                                                                                                                                                                                                                                                                                                                                                                                                                                                                                                                                               CREA/MT: 120079049-9                </t>
  </si>
  <si>
    <t>PAINEL EM MADEIRA DE ITAÚBA PARA BRISE EM FACHADA</t>
  </si>
  <si>
    <t>36.900.033/0001-35</t>
  </si>
  <si>
    <t>04.076.318/0001-07</t>
  </si>
  <si>
    <t>20.939.127/0003-40</t>
  </si>
  <si>
    <t>PORTAS VIDANY</t>
  </si>
  <si>
    <t>10.355.598/0001-95</t>
  </si>
  <si>
    <t>MANTOVANI Engenharia e Automação</t>
  </si>
  <si>
    <t>PORTÃO DE CORRER DE  3,90X2,45 M,CHAPA MODELO GRADIL</t>
  </si>
  <si>
    <t>FORNECIMENTO E INSTALAÇÃO DE PORTÃO DE CORRER DE  1,50 X 2,45 M,EM CHAPA MODELO GRADIL</t>
  </si>
  <si>
    <t>PORTÃO DE CORRER DE  1,50 X 2,45 M; EM CHAPA MODELO GRADIL</t>
  </si>
  <si>
    <t>17.738.504/0001-06</t>
  </si>
  <si>
    <t>MÓDULO 2,50X2,03m</t>
  </si>
  <si>
    <t>P5 - 2UN</t>
  </si>
  <si>
    <t>MAIS P2</t>
  </si>
  <si>
    <t>SVG Metalúrgica</t>
  </si>
  <si>
    <t>18.979.315/0001-98</t>
  </si>
  <si>
    <t>CONJUNTO DE LETRAS EM CAIXA EM AÇO INOX BRILHANTE</t>
  </si>
  <si>
    <t>PORTAS PARANÁ</t>
  </si>
  <si>
    <t>33.059.676/0001-00</t>
  </si>
  <si>
    <t>Composição de referência para os coeficientes de consumo: 74200/001-SINAPI - 02/2016</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</si>
  <si>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</si>
  <si>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</si>
  <si>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</si>
  <si>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CONCRETO FCK = 20MPA, TRAÇO 1:2,6:2,9 (EM MASSA SECA DE CIMENTO/ AREIA MÉDIA/ SEIXO ROLADO) - PREPARO MECÂNICO COM BETONEIRA 400 L. AF_05/2021</t>
  </si>
  <si>
    <t>VERGA 10X10 CM EM CONCRETO PRÉ- MOLDADO FCK=20MPA</t>
  </si>
  <si>
    <t>3*1,70m = 5,10m</t>
  </si>
  <si>
    <t xml:space="preserve">30,02 Kg de Chumbadores = 200 un </t>
  </si>
  <si>
    <t>17.5.4</t>
  </si>
  <si>
    <t>SIFÃO DO TIPO FLEXÍVEL EM PVC  2" -  FORNECIMENTO E INSTALAÇÃO.</t>
  </si>
  <si>
    <t>INST. SANITÁRIAS</t>
  </si>
  <si>
    <t>18.11</t>
  </si>
  <si>
    <t>17.2.1</t>
  </si>
  <si>
    <t>17.2.2</t>
  </si>
  <si>
    <t>17.2.3</t>
  </si>
  <si>
    <t>ABRACADEIRA EM ACO PARA AMARRACAO DE ELETRODUTOS, TIPO D, COM 3/4" E UNHA DE FIXACAO</t>
  </si>
  <si>
    <t>UPPER SEG - T.T. DOS SANTOS LTDA</t>
  </si>
  <si>
    <t>QUANTITATIVO DO MURO DA SEMA DUDS TANGARA DA SERRA - R01</t>
  </si>
  <si>
    <t>MURO/MURETA COM BLOCO DE CONCRETO 14X19X39</t>
  </si>
  <si>
    <t xml:space="preserve">  Data:  </t>
  </si>
  <si>
    <t>185,78=(1499,19 m² * 0,20 m (altura)* 0,4 empolamento)+40,02(VIGA BALD)+12,08*0,40(ETE)+21m³(MURETA)</t>
  </si>
  <si>
    <t>5573,40m³*Km=185,78m³*30Km</t>
  </si>
  <si>
    <t>BEIRA RIO - FERNANDO CORREA</t>
  </si>
  <si>
    <t>01.426.365/0001-45</t>
  </si>
  <si>
    <t>YAKAO.COM.BR</t>
  </si>
  <si>
    <t>YAKAO - CUIABÁ/MT</t>
  </si>
  <si>
    <t>upperseg.com.br</t>
  </si>
  <si>
    <t>Composição de referência para os coeficientes de consumo:067127/SBC - 04/2018</t>
  </si>
  <si>
    <t>ELETROTÉCNICO COM ENCARGOS COMPLEMENTARES</t>
  </si>
  <si>
    <t>31,95+13,70+66,73+4,46</t>
  </si>
  <si>
    <t xml:space="preserve">CALÇADA INTERNA EM CONCRETO MOLDADO IN LOCO </t>
  </si>
  <si>
    <t>MURO EM BLOCO DE CONCRETO</t>
  </si>
  <si>
    <t>73,76+38,45</t>
  </si>
  <si>
    <t>11.162.692/0001-90</t>
  </si>
  <si>
    <t>LIMPEZA DE PORCELANATO COM PANO ÚMIDO</t>
  </si>
  <si>
    <t>LIMPEZA DE REVESTIMENTO CERÂMICO EM PAREDE COM PANO ÚMIDO</t>
  </si>
  <si>
    <t>COMP ELE 33</t>
  </si>
  <si>
    <t>CONDULETE PVC ENCAIXE TIPO C 3/4"</t>
  </si>
  <si>
    <t>COMP ELE 34</t>
  </si>
  <si>
    <t>CONDULETE PVC ENCAIXE TIPO LL 3/4"</t>
  </si>
  <si>
    <t>COMP ELE 35</t>
  </si>
  <si>
    <t>CONDULETE PVC ENCAIXE TIPO LR 3/4"</t>
  </si>
  <si>
    <t>COMP ELE 36</t>
  </si>
  <si>
    <t>CONDULETE PVC ENCAIXE TIPO LR  1"</t>
  </si>
  <si>
    <t>COMP ELE 37</t>
  </si>
  <si>
    <t>CONDULETE PVC ENCAIXE TIPO T  1"</t>
  </si>
  <si>
    <t>CONDULETE EM PVC, TIPO "C", SEM TAMPA, DE 3/4"</t>
  </si>
  <si>
    <t>BUCHA DE NYLON SEM ABA S6, COM PARAFUSO DE 4,20 X 40 MM EM ACO ZINCADO COM ROSCA SOBERBA, CABECA CHATA E FENDA PHILLIPS</t>
  </si>
  <si>
    <t>CONDULETE EM PVC, TIPO "LR", SEM TAMPA, DE 3/4"</t>
  </si>
  <si>
    <t>CONDULETE EM PVC, TIPO "LR", SEM TAMPA, DE 1"</t>
  </si>
  <si>
    <t>SANTIL - Materiais Elétricos</t>
  </si>
  <si>
    <t>LOJA ELÉTRICA LTDA</t>
  </si>
  <si>
    <t xml:space="preserve">BEIRAL </t>
  </si>
  <si>
    <t>ITEM 13.9 - QTITQTIVO ARQ</t>
  </si>
  <si>
    <t>17.155.342/0010-74</t>
  </si>
  <si>
    <t>www.lojaeletrica.com.br</t>
  </si>
  <si>
    <t>13,91 E 19,33 (FRETE)</t>
  </si>
  <si>
    <t>COM 3 METROS</t>
  </si>
  <si>
    <t>Vlr Unit C/ BDI</t>
  </si>
  <si>
    <t>RUA 24 A - JARDIM TANGARA II</t>
  </si>
  <si>
    <t>31,95+13,70+66,73</t>
  </si>
  <si>
    <t>Calçadas do Interior do Terreno</t>
  </si>
  <si>
    <t>Calçadas Rua 24 A e Rua 09</t>
  </si>
  <si>
    <t>VIGIA NOTURNO COM ENCARGOS COMPLEMENTARES</t>
  </si>
  <si>
    <t>COMP 13</t>
  </si>
  <si>
    <t>COMP ESTR 03</t>
  </si>
  <si>
    <t>SWITCH (10/100)BASE TX + (1000)BASE T (24 + 2) PORTAS</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</si>
  <si>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</si>
  <si>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</si>
  <si>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</si>
  <si>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</si>
  <si>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</si>
  <si>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QUADRO DE COTAÇÕES - BANDEJA ( un  )</t>
  </si>
  <si>
    <t xml:space="preserve">UPPER SEG </t>
  </si>
  <si>
    <t>17354.683/0001-88</t>
  </si>
  <si>
    <t>PARAFUSO EM AÇO ZINCADO COM ROSCA SOBERBA, CABEÇA CHATA E FENDA PHILLIPS COM BUCHA DE NYLON S6 - FORNECIMENTO E FIXAÇÃO</t>
  </si>
  <si>
    <t>FIXAÇÃO UTILIZANDO PARAFUSO E BUCHA DE NYLON, SOMENTE MÃO DE OBRA. AF_10/2016</t>
  </si>
  <si>
    <t>49.474.698/0008-63</t>
  </si>
  <si>
    <t>santil.com.br</t>
  </si>
  <si>
    <t>HASTE DE ATERRAMENTO EM ACO COM 3,00 M DE COMPRIMENTO E DN = 5/8", REVESTIDA COM BAIXA CAMADA DE COBRE, COM CONECTOR TIPO GRAMPO</t>
  </si>
  <si>
    <t>DISJUNTOR TERMOMAGNETICO TRIPOLAR 100 A-40KA, FORNECIMENTO E INSTALACAO</t>
  </si>
  <si>
    <t>COMP ELE 26</t>
  </si>
  <si>
    <t>DISJUNTOR TERMOMAGNETICO TRIPOLAR 90 A-10KA, FORNECIMENTO E INSTALACAO</t>
  </si>
  <si>
    <t xml:space="preserve">DISJUNTOR TERMOMAGNETICO TRIPOLAR DIN 90A ,10 KA </t>
  </si>
  <si>
    <t>ABRAÇADEIRA METÁLICA TIPO "D",  COM 3/4" E  UNHA DE FIXAÇÃO</t>
  </si>
  <si>
    <t>CENTRAL TELEFÔNICA PABX 50/300</t>
  </si>
  <si>
    <t>COMP ELE 38</t>
  </si>
  <si>
    <t>COMP ELE 39</t>
  </si>
  <si>
    <t>CONDULETE EM PVC, TIPO "LL", SEM TAMPA, DE 1/2" OU 3/4"</t>
  </si>
  <si>
    <t>CABO DE COBRE FLEXÍVEL ISOLADO, 25 MM², ANTI-CHAMA 0,6/1,0 KV, PARA REDE ENTERRADA DE DISTRIBUIÇÃO DE ENERGIA ELÉTRICA - FORNECIMENTO E INSTALAÇÃO. AF_12/2021</t>
  </si>
  <si>
    <t>CABO DE COBRE FLEXÍVEL ISOLADO, 2,5 MM², ANTI-CHAMA 450/750 V, PARA CIRCUITOS TERMINAIS - FORNECIMENTO E INSTALAÇÃO. AF_12/2015</t>
  </si>
  <si>
    <t>LUVA PARA ELETRODUTO, PVC, ROSCÁVEL, DN 25 MM (3/4"), PARA CIRCUITOS TERMINAIS, INSTALADA EM LAJE - FORNECIMENTO E INSTALAÇÃO. AF_12/2015</t>
  </si>
  <si>
    <t>DISJUNTOR MONOPOLAR TIPO DIN, CORRENTE NOMINAL DE 10A - FORNECIMENTO E INSTALAÇÃO. AF_10/2020</t>
  </si>
  <si>
    <t>DISJUNTOR BIPOLAR TIPO DIN, CORRENTE NOMINAL DE 10A - FORNECIMENTO E INSTALAÇÃO. AF_10/2020</t>
  </si>
  <si>
    <t>DISJUNTOR TERMOMAGNETICO TRIPOLAR DIN 90A ,10 KA FORNECIMENTO E INSTALACAO</t>
  </si>
  <si>
    <t>ELETRODUTO FLEXÍVEL CORRUGADO, PEAD, DN 50 (1 1/2"), PARA REDE ENTERRADA DE DISTRIBUIÇÃO DE ENERGIA ELÉTRICA - FORNECIMENTO E INSTALAÇÃO. AF_12/2021</t>
  </si>
  <si>
    <t>4.2.4</t>
  </si>
  <si>
    <t>ARMAÇÃO DE PILAR OU VIGA DE UMA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</si>
  <si>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</si>
  <si>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16,0 MM - MONTAGEM. AF_06/2022</t>
  </si>
  <si>
    <t>ARMAÇÃO DE PILAR OU VIGA DE ESTRUTURA CONVENCIONAL DE CONCRETO ARMADO UTILIZANDO AÇO CA-50 DE 12,5 MM - MONTAGEM. AF_06/2022</t>
  </si>
  <si>
    <t>ARMAÇÃO DE LAJE DE ESTRUTURA CONVENCIONAL DE CONCRETO ARMADO UTILIZANDO AÇO CA-60 DE 5,0 MM - MONTAGEM. AF_06/2022</t>
  </si>
  <si>
    <t>ARMAÇÃO DE LAJE DE ESTRUTURA CONVENCIONAL DE CONCRETO ARMADO UTILIZANDO AÇO CA-60 DE 6,3 MM - MONTAGEM. AF_06/2022</t>
  </si>
  <si>
    <t>ARMAÇÃO DE LAJE DE ESTRUTURA CONVENCIONAL DE CONCRETO ARMADO UTILIZANDO AÇO CA-50 DE 8,0 MM - MONTAGEM. AF_06/2022</t>
  </si>
  <si>
    <t>HASTE DE ATERRAMENTO EM ACO COM 3,00 M DE COMPRIMENTO E DN = 5/8", REVESTIDA COM BAIXA CAMADA DE COBRE, SEM CONECTOR</t>
  </si>
  <si>
    <t xml:space="preserve">PORTA EM ALUMÍNIO ANODIZADO DE ABRIR, 2 FOLHAS, PARA VIDRO COM GUARNIÇÃO, 1,30X210CM, FIXAÇÃO COM PARAFUSOS, INCLUSIVE VIDROS - FORNECIMENTO E INSTALAÇÃO. </t>
  </si>
  <si>
    <t>'PORTA EM MADEIRA LISA COMUM, ENCABEÇADA DE CORRER COM TRILHO DE ALUMÍNIO - 0,80 X 2,10 M</t>
  </si>
  <si>
    <t>Composição de referência para os coeficientes de consumo: 17 4000100/AGESUL - JAN/21</t>
  </si>
  <si>
    <t>Composição de referência para os coeficientes de consumo:</t>
  </si>
  <si>
    <t>Conjunto de Letras em Caixa,aço inox brilhante, 4 letras tamanho 40 e 40 letras tamanho 20 cm</t>
  </si>
  <si>
    <t>LANÇAMENTO COM USO DE BALDES, ADENSAMENTO E ACABAMENTO DE CONCRETO EM ESTRUTURAS. AF_02/2022</t>
  </si>
  <si>
    <t>CORTE E DOBRA DE AÇO CA-50, DIÂMETRO DE 10,0 MM. AF_06/2022</t>
  </si>
  <si>
    <t>2,50 X 2,03 =5,075 m²</t>
  </si>
  <si>
    <t>SEMA-PRO-2022/00145</t>
  </si>
  <si>
    <t xml:space="preserve">PORTA EM MADEIRA LISA COMUM, 0,80X2,10 M, ENCABEÇADA DE CORRER COM TRILHO DE ALUMÍNIO - FORNECIMENTO E INSTALAÇÃO. </t>
  </si>
  <si>
    <t xml:space="preserve">PORTA EM MADEIRA LISA COMUM, 0,80X2,10M, ENCABEÇADA DE CORRER COM TRILHO DE ALUMÍNIO - FORNECIMENTO E INSTALAÇÃO. </t>
  </si>
  <si>
    <t>(65)9.9813-9645</t>
  </si>
  <si>
    <t>MT BRASIL ESQUADRIAS</t>
  </si>
  <si>
    <t>44.947.797/0001-04</t>
  </si>
  <si>
    <t>LÚCIA                                                              (65)9.9945-1197</t>
  </si>
  <si>
    <t>(65)3686-1297</t>
  </si>
  <si>
    <t>CASTELLI  LOJA</t>
  </si>
  <si>
    <t>11.000.062/0001-10</t>
  </si>
  <si>
    <t>DIEGO          vendas4@castellimateriais.com.br - ramal 3512</t>
  </si>
  <si>
    <t>GUSMAN CONSTRUÇÃO E ACABAMENTO</t>
  </si>
  <si>
    <t>15.960.776/0001-20</t>
  </si>
  <si>
    <t>TODIMO MATERIAIS DE CONSTRUÇÃO</t>
  </si>
  <si>
    <t>15.375.991/0001-64</t>
  </si>
  <si>
    <t>427,98+262,35+126+111,40+36,28+331,29+90,73+65,50/2+INST.=</t>
  </si>
  <si>
    <t>FRETE=65,50</t>
  </si>
  <si>
    <t>480+250+80+150+165+35+350+60+250=1820,00</t>
  </si>
  <si>
    <t xml:space="preserve">ALBATROZ SERVICE </t>
  </si>
  <si>
    <t>32.562.917/0001-76</t>
  </si>
  <si>
    <t>X = R$ 1044,33/m²</t>
  </si>
  <si>
    <t xml:space="preserve"> 5,075 m² ---- R$ 5300,00             1 m²    ----  X                                                                                                      </t>
  </si>
  <si>
    <t>PREVENÇÃO SEGURANÇA ELETRÔNICA</t>
  </si>
  <si>
    <t>11.121.237/0001-47</t>
  </si>
  <si>
    <t>VILA REVESTIMENTOS</t>
  </si>
  <si>
    <t>16.582.200/0001-30</t>
  </si>
  <si>
    <t>RESERVA ACABAMENTOS</t>
  </si>
  <si>
    <t>27.355.436/0001-50</t>
  </si>
  <si>
    <t>6960+6120=13080</t>
  </si>
  <si>
    <t>X-PRINT COMUNICAÇÃO VISUAL</t>
  </si>
  <si>
    <t>22.321.448/0001-40</t>
  </si>
  <si>
    <t>IMPACTO COMUNICAÇÃO VISUAL</t>
  </si>
  <si>
    <t>07.497.061/0001-55</t>
  </si>
  <si>
    <t>R5 - COMUNICAÇÃO VISUAL</t>
  </si>
  <si>
    <t>11.662.375/0001-33</t>
  </si>
  <si>
    <t>PAINEL EM MADEIRA DE ITAÚBA PARA BRISE EM FACHADA - FORNECIMENTO E INSTALAÇÃO</t>
  </si>
  <si>
    <t>CONJUNTO DE LETRAS EM CAIXA EM AÇO INOX BRILHANTE - FORNECIMENTO E INSTALAÇÃO</t>
  </si>
  <si>
    <t>ARBUSTO MADEIRAS</t>
  </si>
  <si>
    <t>30.000.438/0001-30</t>
  </si>
  <si>
    <t>REI DO PRGOLADO E DECK</t>
  </si>
  <si>
    <t>32.920.523/0001-42</t>
  </si>
  <si>
    <t>JM DECKS E PERGOLADOS</t>
  </si>
  <si>
    <t>32.642.470/0001-45</t>
  </si>
  <si>
    <t xml:space="preserve"> FONTE: SINAPI OUT/2022(SEM DESONERAÇÃO)</t>
  </si>
  <si>
    <t>CANTONEIRA ALUMINIO ABAS IGUAIS 2 ", E = 1/8 "</t>
  </si>
  <si>
    <t>RACK FORT Soluções em Racks</t>
  </si>
  <si>
    <t>31.690.876/0001-30</t>
  </si>
  <si>
    <t>RACKFORT.COM.BR</t>
  </si>
  <si>
    <t>AZ NET TELECOM</t>
  </si>
  <si>
    <t>13.578.459/0001-23</t>
  </si>
  <si>
    <t>AZNETTELCOM.COM.BR</t>
  </si>
  <si>
    <t>LOJA ELÉTRICA</t>
  </si>
  <si>
    <t>LOJAELETRICA.COM.BR</t>
  </si>
  <si>
    <t>PONTO DIGITAL INFORMÁTICA</t>
  </si>
  <si>
    <t>PONTODIGITALINFO.COM.BR</t>
  </si>
  <si>
    <t>UPPER SEG</t>
  </si>
  <si>
    <t>17.354.683/0001-88</t>
  </si>
  <si>
    <t>UNICASERV</t>
  </si>
  <si>
    <t>unicaserv.com.br</t>
  </si>
  <si>
    <t>CPC</t>
  </si>
  <si>
    <t>27.335.649/0001-10</t>
  </si>
  <si>
    <t>cabospatcord.com.br</t>
  </si>
  <si>
    <t>REDE DISTRIBUIDORA</t>
  </si>
  <si>
    <t>10.878.552/0001-03</t>
  </si>
  <si>
    <t>LOJASREDEDISTRIBUIDORA.COM.BR</t>
  </si>
  <si>
    <t>ELETRORASTRO</t>
  </si>
  <si>
    <t>ELETRORASTRO.COM.BR</t>
  </si>
  <si>
    <t>ELÉTRICA SERPAL</t>
  </si>
  <si>
    <t>03.938.818/0001-48</t>
  </si>
  <si>
    <t>eletricaserpal.com.br</t>
  </si>
  <si>
    <t>85.014.793/0001-50</t>
  </si>
  <si>
    <t>eletrrastro.com.br</t>
  </si>
  <si>
    <t>CASA E OFICINA</t>
  </si>
  <si>
    <t>10.694.290/0001-74</t>
  </si>
  <si>
    <t>casaeoficina.com.br</t>
  </si>
  <si>
    <t>LOJAS REDE DISTRIBUIDORA</t>
  </si>
  <si>
    <t>10.878.552/0001-50</t>
  </si>
  <si>
    <t>lojasrededistribuidora</t>
  </si>
  <si>
    <t>KALUNGA</t>
  </si>
  <si>
    <t>43.283.811/0001-50</t>
  </si>
  <si>
    <t>KALUNGA.COM.BR</t>
  </si>
  <si>
    <t>FERRAGENS FLORESTA</t>
  </si>
  <si>
    <t>21.009.346/0001-20</t>
  </si>
  <si>
    <t>FERAGENSFLORESTA.COM.BR</t>
  </si>
  <si>
    <t>MAXXITACOS</t>
  </si>
  <si>
    <t>28.527.204/0001-02</t>
  </si>
  <si>
    <t>MAXXITACOS.COM.BR</t>
  </si>
  <si>
    <t>MARCENEIRO EXPRESSO</t>
  </si>
  <si>
    <t>24.974.585/0001-09</t>
  </si>
  <si>
    <t>MARCENEIROEXPRESSO.COM.BR</t>
  </si>
  <si>
    <t>ELETROINFO CIA</t>
  </si>
  <si>
    <t>16.605.464/0001-61</t>
  </si>
  <si>
    <t>ELETROINFOCIA.COM.BR</t>
  </si>
  <si>
    <t>DIMENSIONAL</t>
  </si>
  <si>
    <t>06.913.480/0015-63</t>
  </si>
  <si>
    <t>DIMENSIONAL.COM.BR</t>
  </si>
  <si>
    <t>206,81 E 21,82 FRETE</t>
  </si>
  <si>
    <t>74,48 e 16,82 (FRETE)</t>
  </si>
  <si>
    <t>KADRI INFORMÁTICA</t>
  </si>
  <si>
    <t>01.030.685/0001-81</t>
  </si>
  <si>
    <t>KADRIINFORMATICA.COM.BR</t>
  </si>
  <si>
    <t>YAKAO</t>
  </si>
  <si>
    <t xml:space="preserve">PARATEC </t>
  </si>
  <si>
    <t>36.134.420/0001-08</t>
  </si>
  <si>
    <t>vendas@paratec.com.br</t>
  </si>
  <si>
    <t>lojaeletrica.com.br</t>
  </si>
  <si>
    <t>MULTISEG</t>
  </si>
  <si>
    <t>10.498.309/0001-84</t>
  </si>
  <si>
    <t>multiseg.com.br</t>
  </si>
  <si>
    <t>MULTISEG EQUIPAMENTOS DE SEGURANÇA</t>
  </si>
  <si>
    <t>10.498.304/0001-84</t>
  </si>
  <si>
    <t>ZIG FERRAMENTAS</t>
  </si>
  <si>
    <t>20.634.386/0001-09</t>
  </si>
  <si>
    <t>zigferramentas.com.br</t>
  </si>
  <si>
    <t>56.545.742/0007-42</t>
  </si>
  <si>
    <t>dimensional.com.br</t>
  </si>
  <si>
    <t>SANTIL</t>
  </si>
  <si>
    <t>49.474.398/0004-30</t>
  </si>
  <si>
    <t>ANHANGUERA FERRAMENTAS</t>
  </si>
  <si>
    <t>00.565.813/0001-29</t>
  </si>
  <si>
    <t>anhangueraferramentas</t>
  </si>
  <si>
    <t>yakao.com.br</t>
  </si>
  <si>
    <t>eletrorastro.com.br</t>
  </si>
  <si>
    <t>ELETROTRAFO</t>
  </si>
  <si>
    <t>80.224.785/0001-15</t>
  </si>
  <si>
    <t>eletrotrafo.com.br</t>
  </si>
  <si>
    <t>SERPAL</t>
  </si>
  <si>
    <t>AGROMETAL</t>
  </si>
  <si>
    <t>48.539.548/0001-30</t>
  </si>
  <si>
    <t>lojaaagrometal.com.br</t>
  </si>
  <si>
    <t>COMBINADO</t>
  </si>
  <si>
    <t>45.618.763/0001-39</t>
  </si>
  <si>
    <t>combinado.com.br</t>
  </si>
  <si>
    <t>INSPIRE HOME ILUMINAÇÃO</t>
  </si>
  <si>
    <t>24.335.485/0001-32</t>
  </si>
  <si>
    <t>inspirehome.com.br</t>
  </si>
  <si>
    <t>BUCHA DE NYLON SEM ABA S10, COM PARAFUSO DE 6,10 X 65 MM EM ACO ZINCADO COM ROSCA SOBERBA, CABECA CHATA E FENDA PHILLIPS</t>
  </si>
  <si>
    <t>ELÉTRICA SERPAL LTDA</t>
  </si>
  <si>
    <t>DIMENSIONAL BRASIL SOLUÇÕES LTDA</t>
  </si>
  <si>
    <t>OPUS SECURITY</t>
  </si>
  <si>
    <t>32.332.080/0001-79</t>
  </si>
  <si>
    <t>OPUSSECURITY.COM.BR</t>
  </si>
  <si>
    <t>kalunga.com.br</t>
  </si>
  <si>
    <t>05.896.435/0001-80</t>
  </si>
  <si>
    <t xml:space="preserve">V. Unitário 1,193 + (Frete) 71,8/200 = 1,55 </t>
  </si>
  <si>
    <t>CAMADA SEPARADORA PARA EXECUÇÃO DE RADIER, PISO DE CONCRETO OU LAJE SOBRE SOLO, EM LONA PLÁSTICA. AF_09/2021</t>
  </si>
  <si>
    <t>ENCHIMENTO DE BRITA PARA DRENO, LANÇAMENTO MANUAL. AF_07/2021</t>
  </si>
  <si>
    <t>EXECUÇÃO DE RADIER, ESPESSURA DE 15 CM, FCK = 30 MPA, COM USO DE FORMAS EM MADEIRA SERRADA. AF_09/2021</t>
  </si>
  <si>
    <t>ARMAÇÃO DE LAJE DE ESTRUTURA CONVENCIONAL DE CONCRETO ARMADO UTILIZANDO AÇO CA-60 DE 4,2 MM - MONTAGEM. AF_06/2022</t>
  </si>
  <si>
    <t>(COMPOSIÇÃO REPRESENTATIVA) DE ALVENARIA DE BLOCOS DE CONCRETO ESTRUTURAL 14X19X39 CM, (ESPESSURA 14 CM), FBK = 4,5 MPA, UTILIZANDO PALHETA, PARA EDIFICAÇÃO HABITACIONAL. AF_10/2015</t>
  </si>
  <si>
    <t>LANÇAMENTO COM USO DE BOMBA, ADENSAMENTO E ACABAMENTO DE CONCRETO EM ESTRUTURAS. AF_02/2022</t>
  </si>
  <si>
    <t>TAMPA CIRCULAR PARA ESGOTO E DRENAGEM, EM CONCRETO PRÉ-MOLDADO, DIÂMETRO INTERNO = 0,60 M E ALTURA = 0,10 M. AF_12/2020</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</si>
  <si>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</si>
  <si>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</si>
  <si>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20,0 MM - MONTAGEM. AF_06/2022</t>
  </si>
  <si>
    <t>ARMAÇÃO DE PILAR OU VIGA DE UMA ESTRUTURA CONVENCIONAL DE CONCRETO ARMADO UTILIZANDO AÇO CA-50 DE 8,0 MM - MONTAGEM. AF_06/2022</t>
  </si>
  <si>
    <t>204,82+263,29+17,52+69,86 = 555,49</t>
  </si>
  <si>
    <t>ALVENARIA DE VEDAÇÃO DE BLOCOS CERÂMICOS FURADOS NA HORIZONTAL DE 9X14X19 CM (ESPESSURA 9 CM) E ARGAMASSA DE ASSENTAMENTO COM PREPARO EM BETONEIRA. AF_12/2021</t>
  </si>
  <si>
    <t>VERGA MOLDADA IN LOCO EM CONCRETO PARA JANELAS COM MAIS DE 1,5 M DE VÃO. AF_03/2016</t>
  </si>
  <si>
    <t>CONTRAVERGA MOLDADA IN LOCO COM UTILIZAÇÃO DE BLOCOS CANALETA PARA VÃOS DE ATÉ 1,5 M DE COMPRIMENTO. AF_03/2016</t>
  </si>
  <si>
    <t>11.2.27</t>
  </si>
  <si>
    <t>ARMAÇÃO DE PILAR OU VIGA DE ESTRUTURA DE CONCRETO ARMADO EMBUTIDA EM ALVENARIA DE VEDAÇÃO UTILIZANDO AÇO CA-60 DE 5,0 MM - MONTAGEM. AF_06/2022</t>
  </si>
  <si>
    <t>Conforme a LEI COMPLEMENTAR Nº 022/1996   (Código tributário) do município  de TANGARÁ DA SERRA - MT,  a alíquota do ISSQN é de 3%. Entretanto, ela não determina o arbitramento sobre os materiais, apenas menciona que poderá ser deduzido da base de cálculo. Dessa forma, adotou-se por referência um arbitramento de acordo com a capital Cuiabá com o valor de 40% (3% de 40% = 1,8%). Valor do ISS não deve ser menor que  2% e superior a 5%.</t>
  </si>
  <si>
    <t xml:space="preserve">ENGENHEIRO CIVIL  - 15h / semana * 16 semanas = 240 h                                                          ENCARREGADO - 22 dias/mês * 8 h/dia* 4 meses = 704 h                                                                   VIGIA NOTURNO - 12h/dia x 30 dias/mês x 4 meses = 1440 h </t>
  </si>
  <si>
    <t>SE PARA 1m² são 0,003m³ de argamassa, 2,73m² correspondem a 0,00819m³</t>
  </si>
  <si>
    <t xml:space="preserve">SE PARA 1m² gasta 1h de pedreiro,2,73m² correspondem a 2,73h </t>
  </si>
  <si>
    <t xml:space="preserve">SE PARA 1m² gasta 1,5h de servente;2,73m² correspondem a 4,095h </t>
  </si>
  <si>
    <t>KAROLINE ALMEIDA                 3684-6610</t>
  </si>
  <si>
    <t>Guilherme Novack Silva       ( 65)3621-3767</t>
  </si>
  <si>
    <t>Elaine C Silva Reis         2128-9400</t>
  </si>
  <si>
    <t>FEITOSA                    3627-1590</t>
  </si>
  <si>
    <t xml:space="preserve">       Sara Costa            3052-6179/9.9662-8830</t>
  </si>
  <si>
    <t>LÚCIA                                  (65)9.9945-1197</t>
  </si>
  <si>
    <t>Amanda R Gomes Silva              9.8422-8484</t>
  </si>
  <si>
    <t>(65) 9.9990-0505</t>
  </si>
  <si>
    <t>Armando Sérgio             (65)3682-6168/9.927-4934</t>
  </si>
  <si>
    <t>Rafael S Porto                  (65) 9.9964-9791</t>
  </si>
  <si>
    <t>Jesse Albano                          (65)9.8462-8245</t>
  </si>
  <si>
    <t>trinta.shop/segurancaeletronica58.com               (65)3044-4804</t>
  </si>
  <si>
    <t>Anderson de Arruda Dias                  (65)9.9643-6422</t>
  </si>
  <si>
    <t>Elisangela Maciel       (65)3358-3167</t>
  </si>
  <si>
    <t>Marcos Antonio Brotto Jr     9.9933-3569</t>
  </si>
  <si>
    <t>DANIEL        3055-0702</t>
  </si>
  <si>
    <t>WHATSAPP   (65)9.9307-4180</t>
  </si>
  <si>
    <t>FABIANO  (65)9.9929-8238/9978-4470</t>
  </si>
  <si>
    <t>MAYCON      (66)3325-1010/9.8433-1996</t>
  </si>
  <si>
    <r>
      <t xml:space="preserve">ROGER    </t>
    </r>
    <r>
      <rPr>
        <sz val="9"/>
        <rFont val="Arial"/>
        <family val="2"/>
      </rPr>
      <t xml:space="preserve">(65)9.9961-6614      </t>
    </r>
    <r>
      <rPr>
        <sz val="10"/>
        <color theme="1"/>
        <rFont val="Arial"/>
        <family val="2"/>
      </rPr>
      <t xml:space="preserve">                                          </t>
    </r>
  </si>
  <si>
    <t>CONECTOR / TOMADA FEMEA RJ 45, CATEGORIA 6 (CAT 6) PARA CABOS</t>
  </si>
  <si>
    <t>GUIA ORGANIZADOR DE CABO FECHADO HORIZONTAL, 19´ 1 U</t>
  </si>
  <si>
    <t>GUIA ORGANIZADOR DE CABOS HORIZONTAL, 19´ 1 U</t>
  </si>
  <si>
    <t>ANEL ORGANIZADOR DE CABOS EM ESPIRAL</t>
  </si>
  <si>
    <t>QUADRO DE COTAÇÕES - ANEL ORGANIZADOR DE CABOS EM ESPIRAL (m  )</t>
  </si>
  <si>
    <t>QUADRO DE COTAÇÕES - KIT PÉS NIVELADORES  P/ RACK ABERTO 19" (cj )</t>
  </si>
  <si>
    <t>CONECTOR PLUGUE 110 IDC - 4 PARES</t>
  </si>
  <si>
    <t>CONECTOR 110 IDC -CAT 5E - 4 PARES</t>
  </si>
  <si>
    <t>CONECTOR MACHO RJ45 (CM8v)</t>
  </si>
  <si>
    <t>QUADRO DE COTAÇÕES ( m  )</t>
  </si>
  <si>
    <t>CONDULETE EM PVC, TIPO "T", SEM TAMPA, DE 1"</t>
  </si>
  <si>
    <t>PROCESSO:</t>
  </si>
  <si>
    <t>CORTE E DOBRA DE AÇO CA-60, DIÂMETRO DE 5,0 MM. AF_06/2022</t>
  </si>
  <si>
    <t>DILUENTE  AGUARRAS</t>
  </si>
  <si>
    <t>WALSYWA -</t>
  </si>
  <si>
    <t>Thais P Aleixo Santos                                                                                                  (11)5912-1000</t>
  </si>
  <si>
    <t>A COTAÇÃO FOI FEITA DIRETAMENTE COM O FABRICANTE, POIS AS EMPRESAS DO MERCADO LOCAL NÃO POSSUEM O CHUMBADOR ESPECIFICADO NO PROJETO</t>
  </si>
  <si>
    <t>ELETRODUTO RÍGIDO SOLDÁVEL, PVC, DN 25 MM (3/4), APARENTE, INSTALADO EM TETO - FORNECIMENTO E INSTALAÇÃO. AF_11/2016</t>
  </si>
  <si>
    <t>GUIA ORGANIZADORA DE CABOS HORIZONTAL, 19´ 1 U</t>
  </si>
  <si>
    <t>11.1.41</t>
  </si>
  <si>
    <t>12.4</t>
  </si>
  <si>
    <t>11.2.28</t>
  </si>
  <si>
    <t>4.1.5</t>
  </si>
  <si>
    <t>EMPRESA TANGARÁ</t>
  </si>
  <si>
    <t>PINTURA DA MURETA E MURO</t>
  </si>
  <si>
    <t>13.30</t>
  </si>
  <si>
    <t>COMP HIDR 23</t>
  </si>
  <si>
    <t>CAIXA D'AGUA FIBRA DE VIDRO PARA 2000 LITROS, COM TAMPA</t>
  </si>
  <si>
    <t>Composição de referência para os coeficientes de consumo: 48.02.204/CPOS - 02/2022</t>
  </si>
  <si>
    <t>RESERVATÓRIO EM FIBRA DE VIDRO COM TAMPA - CAPACIDADE 2000 LITROS</t>
  </si>
  <si>
    <t>COMP HIDR  23</t>
  </si>
  <si>
    <t>18.15</t>
  </si>
  <si>
    <t>COMP 33</t>
  </si>
  <si>
    <t>PLACA DE INAUGURAÇÃO - FORNECIMENTO E INSTALAÇÃO</t>
  </si>
  <si>
    <t>PLACA DE INAUGURACAO METALICA, *40* CM X *60* CM</t>
  </si>
  <si>
    <r>
      <t>Composição de referência para os coeficientes de consumo:</t>
    </r>
    <r>
      <rPr>
        <sz val="10"/>
        <rFont val="Arial"/>
        <family val="2"/>
      </rPr>
      <t xml:space="preserve"> 270805/AGETOP - 01/2022</t>
    </r>
  </si>
  <si>
    <t>CADERNO DE COMPOSIÇÕES</t>
  </si>
  <si>
    <t>DESCONTO MATERIAIS E EQUIPAMENTOS</t>
  </si>
  <si>
    <t>CONTROLE DE DESCONTO</t>
  </si>
  <si>
    <t>EDITAL</t>
  </si>
  <si>
    <t>PROPOSTA</t>
  </si>
  <si>
    <t>DESCONTO</t>
  </si>
  <si>
    <t>Obra:</t>
  </si>
  <si>
    <t>R$</t>
  </si>
  <si>
    <t>Ref:</t>
  </si>
  <si>
    <t>Local:</t>
  </si>
  <si>
    <t>&lt;- INSIRA SEU DESCONTO AQUI</t>
  </si>
  <si>
    <t>CÓDIGO</t>
  </si>
  <si>
    <t>DESCRIÇÃO DA COMPOSIÇÃO</t>
  </si>
  <si>
    <t>TABELA</t>
  </si>
  <si>
    <t>TIPO DO ÍTEM</t>
  </si>
  <si>
    <t>COEF.</t>
  </si>
  <si>
    <t>OCULTAR</t>
  </si>
  <si>
    <t>CUSTO UNT.</t>
  </si>
  <si>
    <t>CUSTO TOTAL</t>
  </si>
  <si>
    <t>SINAPI</t>
  </si>
  <si>
    <t>TOTAL DO ÍTEM</t>
  </si>
  <si>
    <t>Vlr Unit EMPRESA</t>
  </si>
  <si>
    <t>Insumo</t>
  </si>
  <si>
    <t>JARDINEIRO COM ENCARGOS COMPLEMENTARES</t>
  </si>
  <si>
    <t>TRATOR DE ESTEIRAS, POTÊNCIA 100 HP, PESO OPERACIONAL 9,4 T, COM LÂMINA 2,19 M3 - CHI DIURNO. AF_06/2014</t>
  </si>
  <si>
    <t>TRATOR DE ESTEIRAS, POTÊNCIA 100 HP, PESO OPERACIONAL 9,4 T, COM LÂMINA 2,19 M3 - CHP DIURNO. AF_06/2014</t>
  </si>
  <si>
    <t>ESCAVADEIRA HIDRÁULICA SOBRE ESTEIRAS, CAÇAMBA 0,80 M3, PESO OPERACIONAL 17 T, POTENCIA BRUTA 111 HP - CHP DIURNO. AF_06/2014</t>
  </si>
  <si>
    <t>ESCAVADEIRA HIDRÁULICA SOBRE ESTEIRAS, CAÇAMBA 0,80 M3, PESO OPERACIONAL 17 T, POTENCIA BRUTA 111 HP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</si>
  <si>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</si>
  <si>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</si>
  <si>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</si>
  <si>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</si>
  <si>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TABUA APARELHADA *2,5 X 30* CM, EM MACARANDUBA, ANGELIM OU EQUIVALENTE DA REGIAO</t>
  </si>
  <si>
    <t>CAIBRO NAO APARELHADO  *7,5 X 7,5* CM, EM MACARANDUBA, ANGELIM OU EQUIVALENTE DA REGIAO -  BRUTA</t>
  </si>
  <si>
    <t xml:space="preserve">PREGO DE ACO POLIDO COM CABECA 18 X 27 (2 1/2 X 10)  </t>
  </si>
  <si>
    <t>TELHA TRAPEZOIDAL EM ACO ZINCADO, SEM PINTURA, ALTURA DE APROXIMADAMENTE 40 MM, ESPESSURA DE 0,50 MM E LARGURA UTIL DE 980 MM</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</si>
  <si>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</si>
  <si>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</si>
  <si>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(EM MASSA SECA DE CIMENTO/ AREIA MÉDIA/ BRITA 1) - PREPARO MANUAL. AF_05/2021</t>
  </si>
  <si>
    <t>SARRAFO NAO APARELHADO *2,5 X 7* CM, EM MACARANDUBA, ANGELIM OU EQUIVALENTE DA REGIAO -  BRUTA</t>
  </si>
  <si>
    <t xml:space="preserve">PREGO DE ACO POLIDO COM CABECA 17 X 21 (2 X 11)  </t>
  </si>
  <si>
    <t xml:space="preserve">TINTA LATEX ACRILICA PREMIUM, COR BRANCO FOSCO                                                                                                                                                                                                                                                                                                                                                                                                                                                            </t>
  </si>
  <si>
    <t>TABUA *2,5 X 23* CM EM PINUS, MISTA OU EQUIVALENTE DA REGIAO - BRUTA</t>
  </si>
  <si>
    <t>MARCAÇÃO DE PONTOS EM GABARITO OU CAVALETE. AF_10/2018</t>
  </si>
  <si>
    <t>UN</t>
  </si>
  <si>
    <t>FECHADURA ESPELHO PARA PORTA EXTERNA, EM ACO INOX (MAQUINA, TESTA E CONTRA-TESTA) E EM ZAMAC (MACANETA, LINGUETA E TRINCOS) COM ACABAMENTO CROMADO, MAQUINA DE 40 MM, INCLUINDO CHAVE TIPO CILINDRO</t>
  </si>
  <si>
    <t>CJ</t>
  </si>
  <si>
    <t xml:space="preserve">JUNCAO SIMPLES, PVC, DN 100 X 50 MM, SERIE NORMAL PARA ESGOTO PREDIAL  </t>
  </si>
  <si>
    <t xml:space="preserve">JUNCAO SIMPLES, PVC, 45 GRAUS, DN 100 X 100 MM, SERIE NORMAL PARA ESGOTO PREDIAL  </t>
  </si>
  <si>
    <t>FORRO DE PVC LISO, BRANCO, REGUA DE 10 CM, ESPESSURA DE 8 MM A 10 MM (COM COLOCACAO / SEM ESTRUTURA METALICA)</t>
  </si>
  <si>
    <t xml:space="preserve">MICTORIO COLETIVO ACO INOX (AISI 304), E = 0,8 MM, DE *100 X 40 X 30* CM (C X A X P)  </t>
  </si>
  <si>
    <t xml:space="preserve">CAIXA SIFONADA, PVC, 150 X 150 X 50 MM, COM GRELHA QUADRADA, BRANCA (NBR 5688)                                                                                                                                                                                                                                                                                                                                                                                                                            </t>
  </si>
  <si>
    <t>VALVULA DE DESCARGA EM METAL CROMADO PARA MICTORIO COM ACIONAMENTO POR PRESSAO E FECHAMENTO AUTOMATICO</t>
  </si>
  <si>
    <t>PORTA DE MADEIRA, FOLHA LEVE (NBR 15930), DE 600 X 2100 MM, E = 35 MM, NUCLEO COLMEIA, CAPA LISA EM HDF, ACABAMENTO MELAMINICO EM PADRAO MADEIRA</t>
  </si>
  <si>
    <t xml:space="preserve">UN    </t>
  </si>
  <si>
    <t>VASO SANITÁRIO SIFONADO COM CAIXA ACOPLADA LOUÇA BRANCA - FORNECIMENTO E INSTALAÇÃO. AF_01/2020</t>
  </si>
  <si>
    <t>MASSA ÚNICA, PARA RECEBIMENTO DE PINTURA, EM ARGAMASSA TRAÇO 1:2:8, PREPARO MANUAL, APLICADA MANUALMENTE EM FACES INTERNAS DE PAREDES, ESPESSURA DE 10MM, COM EXECUÇÃO DE TALISCAS. AF_06/2014</t>
  </si>
  <si>
    <t>EMBOÇO OU MASSA ÚNICA EM ARGAMASSA TRAÇO 1:2:8, PREPARO MANUAL, APLICADA MANUALMENTE EM PANOS DE FACHADA COM PRESENÇA DE VÃOS, ESPESSURA DE 25 MM. AF_08/2022</t>
  </si>
  <si>
    <t>CHAPISCO APLICADO NO TETO,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</si>
  <si>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</si>
  <si>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(COMPOSIÇÃO REPRESENTATIVA) DO SERVIÇO DE REVESTIMENTO CERÂMICO PARA PISO COM PLACAS TIPO ESMALTADA EXTRA DE DIMENSÕES 35X35 CM, PARA EDIFICAÇÃO HABITACIONAL UNIFAMILIAR (CASA) E EDIFICAÇÃO PÚBLICA PADRÃO. AF_11/2014</t>
  </si>
  <si>
    <t>RALO SIFONADO,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</si>
  <si>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</si>
  <si>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</si>
  <si>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</si>
  <si>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</si>
  <si>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</si>
  <si>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</si>
  <si>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TE, PVC, SERIE NORMAL, ESGOTO PREDIAL, DN 50 X 50 MM, JUNTA ELÁSTICA, FORNECIDO E INSTALADO EM RAMAL DE DESCARGA OU RAMAL DE ESGOTO SANITÁRIO. AF_08/2022</t>
  </si>
  <si>
    <t>PONTO DE CONSUMO TERMINAL DE ÁGUA FRIA (SUBRAMAL) COM TUBULAÇÃO DE PVC, DN 25 MM, INSTALADO EM RAMAL DE ÁGUA, INCLUSOS RASGO E CHUMBAMENTO EM ALVENARIA. AF_12/2014</t>
  </si>
  <si>
    <t>KIT DE REGISTRO DE PRESSÃO BRUTO DE LATÃO ¾", INCLUSIVE CONEXÕES, ROSCÁVEL, INSTALADO EM RAMAL DE ÁGUA FRIA - FORNECIMENTO E INSTALAÇÃO. AF_12/2014</t>
  </si>
  <si>
    <t>RASGO EM ALVENARIA PARA RAMAIS/ DISTRIBUIÇÃO COM DIAMETROS MENORES OU IGUAIS A 40 MM. AF_05/2015</t>
  </si>
  <si>
    <t>CHUMBAMENTO LINEAR EM ALVENARIA PARA RAMAIS/DISTRIBUIÇÃO COM DIÂMETROS MENORES OU IGUAIS A 40 MM. AF_05/2015</t>
  </si>
  <si>
    <t>PORTA DE MADEIRA PARA PINTURA, SEMI-OCA (LEVE OU MÉDIA), 80X210CM, ESPESSURA DE 3,5CM, INCLUSO DOBRADIÇAS - FORNECIMENTO E INSTALAÇÃO. AF_12/2019</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</si>
  <si>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</si>
  <si>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</si>
  <si>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FECHADURA DE EMBUTIR PARA PORTA DE BANHEIRO, COMPLETA, ACABAMENTO PADRÃO POPULAR, INCLUSO EXECUÇÃO DE FURO - FORNECIMENTO E INSTALAÇÃO. AF_12/2019</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</si>
  <si>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</si>
  <si>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</si>
  <si>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</si>
  <si>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</si>
  <si>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</si>
  <si>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</si>
  <si>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20 MM (1/2"), PARA CIRCUITOS TERMINAIS, INSTALADA EM PAREDE - FORNECIMENTO E INSTALAÇÃO. AF_12/2015</t>
  </si>
  <si>
    <t>CABO DE COBRE FLEXÍVEL ISOLADO, 1,5 MM², ANTI-CHAMA 450/750 V, PARA CIRCUITOS TERMINAIS - FORNECIMENTO E INSTALAÇÃO. AF_12/2015</t>
  </si>
  <si>
    <t>CABO DE COBRE FLEXÍVEL ISOLADO, 4 MM², ANTI-CHAMA 450/750 V, PARA CIRCUITOS TERMINAIS - FORNECIMENTO E INSTALAÇÃO. AF_12/2015</t>
  </si>
  <si>
    <t>CAIXA OCTOGONAL 3" X 3", PVC, INSTALADA EM LAJE - FORNECIMENTO E INSTALAÇÃO. AF_12/2015</t>
  </si>
  <si>
    <t>TOMADA BAIXA DE EMBUTIR (1 MÓDULO), 2P+T 10 A, INCLUINDO SUPORTE E PLACA - FORNECIMENTO E INSTALAÇÃO. AF_12/2015</t>
  </si>
  <si>
    <t>TRAMA DE MADEIRA COMPOSTA POR TERÇAS PARA TELHADOS DE ATÉ 2 ÁGUAS PARA TELHA ONDULADA DE FIBROCIMENTO, METÁLICA, PLÁSTICA OU TERMOACÚSTICA, INCLUSO TRANSPORTE VERTICAL. AF_07/2019</t>
  </si>
  <si>
    <t>CABO DE COBRE FLEXÍVEL ISOLADO, 16 MM², ANTI-CHAMA 450/750 V, PARA DISTRIBUIÇÃO - FORNECIMENTO E INSTALAÇÃO. AF_12/2015</t>
  </si>
  <si>
    <t>ESCAVAÇÃO MANUAL DE VALA COM PROFUNDIDADE MENOR OU IGUAL A 1,30 M. AF_02/2021</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</si>
  <si>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</si>
  <si>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</si>
  <si>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</si>
  <si>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</si>
  <si>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CONDULETE DE PVC, TIPO B, PARA ELETRODUTO DE PVC SOLDÁVEL DN 25 MM (3/4''), APARENTE - FORNECIMENTO E INSTALAÇÃO. AF_11/2016</t>
  </si>
  <si>
    <t>CONDULETE DE PVC, TIPO LB, PARA ELETRODUTO DE PVC SOLDÁVEL DN 25 MM (3/4''), APARENTE - FORNECIMENTO E INSTALAÇÃO. AF_11/2016</t>
  </si>
  <si>
    <t>HASTE DE ATERRAMENTO 5/8  PARA SPDA - FORNECIMENTO E INSTALAÇÃO. AF_12/2017</t>
  </si>
  <si>
    <t>LUMINÁRIA TIPO CALHA, DE SOBREPOR, COM 2 LÂMPADAS TUBULARES FLUORESCENTES DE 36 W, COM REATOR DE PARTIDA RÁPIDA - FORNECIMENTO E INSTALAÇÃO. AF_02/2020</t>
  </si>
  <si>
    <t>CAIXA ENTERRADA ELÉTRICA RETANGULAR, EM ALVENARIA COM TIJOLOS CERÂMICOS MACIÇOS, FUNDO COM BRITA, DIMENSÕES INTERNAS: 0,3X0,3X0,3 M. AF_12/2020</t>
  </si>
  <si>
    <t>CAIXA ENTERRADA HIDRÁULICA RETANGULAR, EM ALVENARIA COM BLOCOS DE CONCRETO, DIMENSÕES INTERNAS: 0,6X0,6X0,6 M PARA REDE DE ESGOTO. AF_12/2020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</si>
  <si>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</si>
  <si>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</si>
  <si>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</si>
  <si>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</si>
  <si>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</si>
  <si>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</si>
  <si>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</si>
  <si>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</si>
  <si>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PISO CIMENTADO, TRAÇO 1:3 (CIMENTO E AREIA), ACABAMENTO LISO, ESPESSURA 2,0 CM, PREPARO MECÂNICO DA ARGAMASSA. AF_09/2020</t>
  </si>
  <si>
    <t>CHUVEIRO ELÉTRICO COMUM CORPO PLÁSTICO, TIPO DUCHA – FORNECIMENTO E INSTALAÇÃO. AF_01/2020</t>
  </si>
  <si>
    <t>ALVENARIA DE EMBASAMENTO COM BLOCO ESTRUTURAL DE CONCRETO, DE 14X19X29CM E ARGAMASSA DE ASSENTAMENTO COM PREPARO EM BETONEIRA. AF_05/2020</t>
  </si>
  <si>
    <t>QUADRO DE DISTRIBUIÇÃO DE ENERGIA EM PVC, DE EMBUTIR, SEM BARRAMENTO, PARA 6 DISJUNTORES - FORNECIMENTO E INSTALAÇÃO. AF_10/2020</t>
  </si>
  <si>
    <t>DISJUNTOR MONOPOLAR TIPO NEMA, CORRENTE NOMINAL DE 35 ATÉ 50A - FORNECIMENTO E INSTALAÇÃO. AF_10/2020</t>
  </si>
  <si>
    <t>ALVENARIA DE VEDAÇÃO DE BLOCOS CERÂMICOS FURADOS NA HORIZONTAL DE 9X19X19 CM (ESPESSURA 9 CM) E ARGAMASSA DE ASSENTAMENTO COM PREPARO EM BETONEIRA. AF_12/2021</t>
  </si>
  <si>
    <t>CAIBRO 5 X 5 CM EM PINUS, MISTA OU EQUIVALENTE DA REGIAO - BRUTA</t>
  </si>
  <si>
    <t>TABUA  NAO  APARELHADA  *2,5 X 20* CM, EM MACARANDUBA, ANGELIM OU EQUIVALENTE DA REGIAO - BRUTA</t>
  </si>
  <si>
    <t xml:space="preserve">EXTINTOR DE INCENDIO PORTATIL COM CARGA DE AGUA PRESSURIZADA DE 10 L, CLASSE A  </t>
  </si>
  <si>
    <t>EXTINTOR DE INCENDIO PORTATIL COM CARGA DE PO QUIMICO SECO (PQS) DE 4 KG, CLASSE BC</t>
  </si>
  <si>
    <t>FERROLHO COM FECHO / TRINCO REDONDO, EM ACO GALVANIZADO / ZINCADO, DE SOBREPOR, COM COMPRIMENTO DE 8" E ESPESSURA MINIMA DA CHAPA DE 1,50 MM</t>
  </si>
  <si>
    <t>INTERRUPTOR SIMPLES (1 MÓDULO) COM 2 TOMADAS DE EMBUTIR 2P+T 10 A,  INCLUINDO SUPORTE E PLACA - FORNECIMENTO E INSTALAÇÃO. AF_12/2015</t>
  </si>
  <si>
    <t>LUMINÁRIA TIPO SPOT, DE SOBREPOR, COM 1 LÂMPADA FLUORESCENTE DE 15 W, SEM REATOR - FORNECIMENTO E INSTALAÇÃO. AF_02/2020</t>
  </si>
  <si>
    <t>LÂMPADA COMPACTA FLUORESCENTE DE 15 W, BASE E27 - FORNECIMENTO E INSTALAÇÃO. AF_02/2020</t>
  </si>
  <si>
    <t>TELA PLASTICA TECIDA LISTRADA BRANCA E LARANJA, TIPO GUARDA CORPO, EM POLIETILENO MONOFILADO, ROLO 1,20 X 50 M (L X C)</t>
  </si>
  <si>
    <t>BANCADA DE MÁRMORE SINTÉTICO 120 X 60CM, COM CUBA INTEGRADA, INCLUSO SIFÃO TIPO FLEXÍVEL EM PVC, VÁLVULA EM PLÁSTICO CROMADO TIPO AMERICANA E TORNEIRA CROMADA LONGA, DE PAREDE, PADRÃO POPULAR - FORNECIMENTO E INSTALAÇÃO. AF_01/2020</t>
  </si>
  <si>
    <t>TOMADA BAIXA DE EMBUTIR (2 MÓDULOS), 2P+T 10 A, INCLUINDO SUPORTE E PLACA - FORNECIMENTO E INSTALAÇÃO. AF_12/2015</t>
  </si>
  <si>
    <t>INTERRUPTOR SIMPLES (1 MÓDULO) COM 1 TOMADA DE EMBUTIR 2P+T 10 A,  INCLUINDO SUPORTE E PLACA - FORNECIMENTO E INSTALAÇÃO. AF_12/2015</t>
  </si>
  <si>
    <t>CAIXA DE GORDURA SIMPLES, CIRCULAR, EM CONCRETO PRÉ-MOLDADO, DIÂMETRO INTERNO = 0,4 M, ALTURA INTERNA = 0,4 M. AF_12/2020</t>
  </si>
  <si>
    <t>FECHADURA ROSETA REDONDA PARA PORTA DE BANHEIRO, EM ACO INOX (MAQUINA, TESTA E CONTRA-TESTA) E EM ZAMAC (MACANETA, LINGUETA E TRINCOS) COM ACABAMENTO CROMADO, MAQUINA DE 40 MM, INCLUINDO CHAVE TIPO TRANQUETA</t>
  </si>
  <si>
    <t>CAIXA SIFONADA, PVC, DN 100 X 100 X 50 MM, FORNECIDA E INSTALADA EM RAMAIS DE ENCAMINHAMENTO DE ÁGUA PLUVIAL. AF_06/2022</t>
  </si>
  <si>
    <t>JOELHO 45 GRAUS, PVC, SERIE NORMAL, ESGOTO PREDIAL, DN 40 MM, JUNTA SOLDÁVEL, FORNECIDO E INSTALADO EM RAMAL DE DESCARGA OU RAMAL DE ESGOTO SANITÁRIO. AF_08/2022</t>
  </si>
  <si>
    <t>TE, PVC, SERIE NORMAL, ESGOTO PREDIAL, DN 100 X 100 MM, JUNTA ELÁSTICA, FORNECIDO E INSTALADO EM RAMAL DE DESCARGA OU RAMAL DE ESGOTO SANITÁRIO. AF_08/2022</t>
  </si>
  <si>
    <t>PORTA DE MADEIRA PARA PINTURA, SEMI-OCA (LEVE OU MÉDIA), 60X210CM, ESPESSURA DE 3,5CM, INCLUSO DOBRADIÇAS - FORNECIMENTO E INSTALAÇÃO. AF_12/2019</t>
  </si>
  <si>
    <t>SUPORTE PARAFUSADO COM PLACA DE ENCAIXE 4" X 2" ALTO (2,00 M DO PISO) PARA PONTO ELÉTRICO - FORNECIMENTO E INSTALAÇÃO. AF_12/2015</t>
  </si>
  <si>
    <t>LÂMPADA COMPACTA FLUORESCENTE DE 20 W, BASE E27 - FORNECIMENTO E INSTALAÇÃO. AF_02/2020</t>
  </si>
  <si>
    <t>CABO TELEFÔNICO CCI-50 4 PARES, SEM BLINDAGEM, INSTALADO EM DISTRIBUIÇÃO DE EDIFICAÇÃO RESIDENCIAL - FORNECIMENTO E INSTALAÇÃO. AF_11/2019</t>
  </si>
  <si>
    <t>CAIXA DE PASSAGEM PARA TELEFONE 15X15X10CM (SOBREPOR), FORNECIMENTO E INSTALACAO. AF_11/2019</t>
  </si>
  <si>
    <t>JANELA DE MADEIRA - CEDRINHO/ANGELIM OU EQUIVALENTE DA REGIÃO - DE ABRIR COM 4 FOLHAS (2 VENEZIANAS E 2 GUILHOTINAS PARA VIDRO), COM BATENTE, ALIZAR E FERRAGENS. EXCLUSIVE VIDROS, ACABAMENTO E CONTRAMARCO. FORNECIMENTO E INSTALAÇÃO. AF_12/2019</t>
  </si>
  <si>
    <t>QUADRO DE DISTRIBUIÇÃO DE ENERGIA EM CHAPA DE AÇO GALVANIZADO, DE EMBUTIR, COM BARRAMENTO TRIFÁSICO, PARA 12 DISJUNTORES DIN 100A - FORNECIMENTO E INSTALAÇÃO. AF_10/2020</t>
  </si>
  <si>
    <t xml:space="preserve">CAIXA D'AGUA EM POLIETILENO 1000 LITROS, COM TAMPA  </t>
  </si>
  <si>
    <t>JOELHO 90 GRAUS, PVC, SOLDÁVEL, DN 25MM, INSTALADO EM RAMAL DE DISTRIBUIÇÃO DE ÁGUA - FORNECIMENTO E INSTALAÇÃO. AF_06/2022</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</si>
  <si>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</si>
  <si>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</si>
  <si>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</si>
  <si>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</si>
  <si>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PARA CAIXA D'ÁGUA, ROSCÁVEL, 3/4" - FORNECIMENTO E INSTALAÇÃO. AF_08/2021</t>
  </si>
  <si>
    <t>ESTRUTURA DE MADEIRA PROVISÓRIA PARA SUPORTE DE CAIXA D ÁGUA ELEVADA DE 1000 LITROS. AF_05/2018_P</t>
  </si>
  <si>
    <t xml:space="preserve">KIT CAVALETE, PVC, COM REGISTRO, PARA HIDROMETRO, BITOLAS 1/2" OU 3/4" - COMPLETO                                                                                                                                                                                                                                                                                                                                                                                                                         </t>
  </si>
  <si>
    <t xml:space="preserve">ADESIVO PLASTICO PARA PVC, FRASCO COM 175 GR  </t>
  </si>
  <si>
    <t xml:space="preserve">SOLUCAO PREPARADORA / LIMPADORA PARA PVC, FRASCO COM 1000 CM3                                                                                                                                                                                                                                                                                                                                                                                                                                             </t>
  </si>
  <si>
    <t xml:space="preserve">LIXA D'AGUA EM FOLHA, GRAO 100 </t>
  </si>
  <si>
    <t xml:space="preserve">FITA VEDA ROSCA EM ROLOS DE 18 MM X 50 M (L X C)  </t>
  </si>
  <si>
    <t xml:space="preserve">HIDROMETRO UNIJATO / MEDIDOR DE AGUA, DN 3/4", VAZAO MAXIMA DE 5 M3/H, PARA AGUA POTAVEL FRIA, RELOJOARIA PLANA, CLASSE B, HORIZONTAL (SEM CONEXOES)0,                                                                                                                                                                                                                                                                                                                                                    </t>
  </si>
  <si>
    <t>CONCRETO USINADO BOMBEAVEL, CLASSE DE RESISTENCIA C25, COM BRITA 0 E 1, SLUMP = 130 +/- 20 MM, EXCLUI SERVICO DE BOMBEAMENTO (NBR 8953)</t>
  </si>
  <si>
    <t>POCEIRO COM ENCARGOS COMPLEMENTARES</t>
  </si>
  <si>
    <t>ENGENHEIRO CIVIL DE OBRA PLENO COM ENCARGOS COMPLEMENTARES</t>
  </si>
  <si>
    <t>TRANSPORTE COM CAMINHÃO BASCULANTE DE 6 M³, EM VIA URBANA EM REVESTIMENTO PRIMÁRIO (UNIDADE: M3XKM). AF_07/2020</t>
  </si>
  <si>
    <t>M3XKM</t>
  </si>
  <si>
    <t>TRANSPORTE HORIZONTAL COM JERICA DE 90 L, DE MASSA/ GRANEL (UNIDADE: M3XKM). AF_07/2019</t>
  </si>
  <si>
    <t>CARGA, MANOBRA E DESCARGA DE SOLOS E MATERIAIS GRANULARES EM CAMINHÃO BASCULANTE 6 M³ - CARGA COM PÁ CARREGADEIRA (CAÇAMBA DE 1,7 A 2,8 M³ / 128 HP) E DESCARGA LIVRE (UNIDADE: M3). AF_07/2020</t>
  </si>
  <si>
    <t xml:space="preserve">PREGO DE ACO POLIDO COM CABECA 17 X 24 (2 1/4 X 11)  </t>
  </si>
  <si>
    <t xml:space="preserve">PREGO DE ACO POLIDO COM CABECA DUPLA 17 X 27 (2 1/2 X 11)  </t>
  </si>
  <si>
    <t xml:space="preserve">AREIA MEDIA - POSTO JAZIDA/FORNECEDOR (RETIRADO NA JAZIDA, SEM TRANSPORTE)  </t>
  </si>
  <si>
    <t xml:space="preserve">CIMENTO PORTLAND COMPOSTO CP II-32  </t>
  </si>
  <si>
    <t xml:space="preserve">PEDRA BRITADA N. 1 (9,5 a 19 MM) POSTO PEDREIRA/FORNECEDOR, SEM FRETE  </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</si>
  <si>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</si>
  <si>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</si>
  <si>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</si>
  <si>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VIBRADOR DE IMERSÃO, DIÂMETRO DE PONTEIRA 45MM, MOTOR ELÉTRICO TRIFÁSICO POTÊNCIA DE 2 CV - CHP DIURNO. AF_06/2015</t>
  </si>
  <si>
    <t>VIBRADOR DE IMERSÃO, DIÂMETRO DE PONTEIRA 45MM, MOTOR ELÉTRICO TRIFÁSICO POTÊNCIA DE 2 CV - CHI DIURNO. AF_06/2015</t>
  </si>
  <si>
    <t>ESPACADOR / DISTANCIADOR CIRCULAR COM ENTRADA LATERAL, EM PLASTICO, PARA VERGALHAO *4,2 A 12,5* MM, COBRIMENTO 20 MM</t>
  </si>
  <si>
    <t>ARAME RECOZIDO 16 BWG, D = 1,65 MM (0,016 KG/M) OU 18 BWG, D = 1,25 MM (0,01 KG/M)</t>
  </si>
  <si>
    <t>CORTE E DOBRA DE AÇO CA-50, DIÂMETRO DE 8,0 MM. AF_06/2022</t>
  </si>
  <si>
    <t>CORTE E DOBRA DE AÇO CA-50, DIÂMETRO DE 12,5 MM. AF_06/2022</t>
  </si>
  <si>
    <t>LOCACAO DE ESCORA METALICA TELESCOPICA, COM ALTURA REGULAVEL DE *1,80* A *3,20* M, COM CAPACIDADE DE CARGA DE NO MINIMO 1000 KGF (10 KN), INCLUSO TRIPE E FORCADO</t>
  </si>
  <si>
    <t>MES</t>
  </si>
  <si>
    <t>VIGA DE ESCORAMAENTO H20, DE MADEIRA, PESO DE 5,00 A 5,20 KG/M, COM EXTREMIDADES PLASTICAS</t>
  </si>
  <si>
    <t>FABRICAÇÃO DE FÔRMA PARA LAJES, EM CHAPA DE MADEIRA COMPENSADA RESINADA, E = 17 MM. AF_09/2020</t>
  </si>
  <si>
    <t>CORTE E DOBRA DE AÇO CA-50, DIÂMETRO DE 6,3 MM. AF_06/2022</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</si>
  <si>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</si>
  <si>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</si>
  <si>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</si>
  <si>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FABRICAÇÃO DE FÔRMA PARA PILARES E ESTRUTURAS SIMILARES, EM CHAPA DE MADEIRA COMPENSADA PLASTIFICADA, E = 18 MM. AF_09/2020</t>
  </si>
  <si>
    <t>CORTE E DOBRA DE AÇO CA-50, DIÂMETRO DE 16,0 MM. AF_06/2022</t>
  </si>
  <si>
    <t>FABRICAÇÃO DE FÔRMA PARA VIGAS, EM CHAPA DE MADEIRA COMPENSADA PLASTIFICADA, E = 18 MM. AF_09/2020</t>
  </si>
  <si>
    <t>FABRICAÇÃO DE ESCORAS DE VIGA DO TIPO GARFO, EM MADEIRA. AF_09/2020</t>
  </si>
  <si>
    <t>CORTE E DOBRA DE AÇO CA-50, DIÂMETRO DE 20,0 MM. AF_06/2022</t>
  </si>
  <si>
    <t xml:space="preserve">BLOCO CERAMICO / TIJOLO VAZADO PARA ALVENARIA DE VEDACAO, 6 FUROS NA HORIZONTAL, 9 X 14 X 19 CM (L X A X C)                                                                                                                                                                                                                                                                                                                                                                                               </t>
  </si>
  <si>
    <t>TELA DE ACO SOLDADA GALVANIZADA/ZINCADA PARA ALVENARIA, FIO D = *1,20 A 1,70* MM, MALHA 15 X 15 MM, (C X L) *50 X 7,5* CM</t>
  </si>
  <si>
    <t xml:space="preserve">PINO DE ACO COM FURO, HASTE = 27 MM (ACAO DIRETA)  </t>
  </si>
  <si>
    <t>CENTO</t>
  </si>
  <si>
    <t>ARGAMASSA TRAÇO 1:2:8 (EM VOLUME DE CIMENTO, CAL E AREIA MÉDIA ÚMIDA) PARA EMBOÇO/MASSA ÚNICA/ASSENTAMENTO DE ALVENARIA DE VEDAÇÃO, PREPARO MECÂNICO COM BETONEIRA 400 L. AF_08/2019</t>
  </si>
  <si>
    <t xml:space="preserve">ELEMENTO VAZADO DE CONCRETO, QUADRICULADO, 16 FUROS *50 X 50 X 7* CM  </t>
  </si>
  <si>
    <t>ARGAMASSA TRAÇO 1:3 (EM VOLUME DE CIMENTO E AREIA MÉDIA ÚMIDA), PREPARO MECÂNICO COM BETONEIRA 600 L. AF_08/2019</t>
  </si>
  <si>
    <t>CANALETA DE CONCRETO 19 X 19 X 19 CM (CLASSE C - NBR 6136)</t>
  </si>
  <si>
    <t>ARGAMASSA TRAÇO 1:2:9 (EM VOLUME DE CIMENTO, CAL E AREIA MÉDIA ÚMIDA) PARA EMBOÇO/MASSA ÚNICA/ASSENTAMENTO DE ALVENARIA DE VEDAÇÃO, PREPARO MECÂNICO COM BETONEIRA 600 L. AF_08/2019</t>
  </si>
  <si>
    <t>GRAUTE FGK=20 MPA; TRAÇO 1:0,04:1,8:2,1 (EM MASSA SECA DE CIMENTO/ CAL/ AREIA GROSSA/ BRITA 0) - PREPARO MECÂNICO COM BETONEIRA 400 L. AF_09/2021</t>
  </si>
  <si>
    <t>FABRICAÇÃO DE FÔRMA PARA VIGAS, COM MADEIRA SERRADA, E = 25 MM. AF_09/2020</t>
  </si>
  <si>
    <t>CONCRETO FCK = 20MPA, TRAÇO 1:2,7:3 (EM MASSA SECA DE CIMENTO/ AREIA MÉDIA/ BRITA 1) - PREPARO MECÂNICO COM BETONEIRA 600 L. AF_05/2021</t>
  </si>
  <si>
    <t>CONCRETO MAGRO PARA LASTRO, TRAÇO 1:4,5:4,5 (EM MASSA SECA DE CIMENTO/ AREIA MÉDIA/ BRITA 1) - PREPARO MECÂNICO COM BETONEIRA 600 L. AF_05/2021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</si>
  <si>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</si>
  <si>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</si>
  <si>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</si>
  <si>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 xml:space="preserve">PISO PORCELANATO, BORDA RETA, EXTRA, FORMATO MAIOR QUE 2025 CM2  </t>
  </si>
  <si>
    <t>ARGAMASSA TRAÇO 1:3 (EM VOLUME DE CIMENTO E AREIA GROSSA ÚMIDA) PARA CHAPISCO CONVENCIONAL, PREPARO MANUAL. AF_08/2019</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</si>
  <si>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</si>
  <si>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MANUAL. AF_08/2019</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</si>
  <si>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</si>
  <si>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</si>
  <si>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BATENTE PARA PORTA DE MADEIRA, FIXAÇÃO COM ARGAMASSA, PADRÃO MÉDIO - FORNECIMENTO E INSTALAÇÃO. AF_12/2019</t>
  </si>
  <si>
    <t>PORTA DE MADEIRA PARA PINTURA, SEMI-OCA (PESADA OU SUPERPESADA), 80X210CM, ESPESSURA DE 3,5CM, INCLUSO DOBRADIÇAS - FORNECIMENTO E INSTALAÇÃO. AF_12/2019</t>
  </si>
  <si>
    <t>FECHADURA DE EMBUTIR COM CILINDRO, EXTERNA, COMPLETA, ACABAMENTO PADRÃO MÉDIO, INCLUSO EXECUÇÃO DE FURO - FORNECIMENTO E INSTALAÇÃO. AF_12/2019</t>
  </si>
  <si>
    <t>ALIZAR DE 5X1,5CM PARA PORTA FIXADO COM PREGOS, PADRÃO MÉDIO - FORNECIMENTO E INSTALAÇÃO. AF_12/2019</t>
  </si>
  <si>
    <t>PEITORIL EM MARMORE, POLIDO, BRANCO COMUM, L= *15* CM, E=  *2,0* CM, COM PINGADEIRA</t>
  </si>
  <si>
    <t>ARGAMASSA TRAÇO 1:6 (EM VOLUME DE CIMENTO E AREIA MÉDIA ÚMIDA) COM ADIÇÃO DE PLASTIFICANTE PARA EMBOÇO/MASSA ÚNICA/ASSENTAMENTO DE ALVENARIA DE VEDAÇÃO, PREPARO MECÂNICO COM BETONEIRA 400 L. AF_08/2019</t>
  </si>
  <si>
    <t>MARMORISTA/GRANITEIRO COM ENCARGOS COMPLEMENTARES</t>
  </si>
  <si>
    <t>SOLEIRA EM GRANITO, POLIDO, TIPO ANDORINHA/ QUARTZ/ CASTELO/ CORUMBA OU OUTROS EQUIVALENTES DA REGIAO, L= *15* CM, E=  *2,0* CM</t>
  </si>
  <si>
    <t>SELANTE ELASTICO MONOCOMPONENTE A BASE DE POLIURETANO (PU) PARA JUNTAS DIVERSAS</t>
  </si>
  <si>
    <t>310ML</t>
  </si>
  <si>
    <t xml:space="preserve">GUARNICAO / MOLDURA / ARREMATE DE ACABAMENTO PARA ESQUADRIA, EM ALUMINIO PERFIL 25, ACABAMENTO ANODIZADO BRANCO OU BRILHANTE, PARA 1 FACE                                                                                                                                                                                                                                                                                                                                                                 </t>
  </si>
  <si>
    <t>PORTA DE ABRIR EM ALUMINIO TIPO VENEZIANA, ACABAMENTO ANODIZADO NATURAL, SEM GUARNICAO/ALIZAR/VISTA, 87 X 210 CM</t>
  </si>
  <si>
    <t>PARAFUSO DE ACO ZINCADO COM ROSCA SOBERBA, CABECA CHATA E FENDA SIMPLES, DIAMETRO 4,2 MM, COMPRIMENTO * 32 * MM</t>
  </si>
  <si>
    <t xml:space="preserve">JANELA MAXIM AR, EM ALUMINIO PERFIL 25, 60 X 80 CM (A X L), ACABAMENTO BRANCO OU BRILHANTE, BATENTE DE 4 A 5 CM, COM VIDRO, SEM GUARNICAO/ALIZAR                                                                                                                                                                                                                                                                                                                                                          </t>
  </si>
  <si>
    <t xml:space="preserve">SILICONE ACETICO USO GERAL INCOLOR 280 G  </t>
  </si>
  <si>
    <t xml:space="preserve">JANELA DE CORRER, EM ALUMINIO PERFIL 25, 100 X 120 CM (A X L), 2 FLS MOVEIS,  SEM BANDEIRA, ACABAMENTO BRANCO OU BRILHANTE, BATENTE DE 6 A 7 CM, COM VIDRO, SEM GUARNICAO                                                                                                                                                                                                                                                                                                                                 </t>
  </si>
  <si>
    <t xml:space="preserve">LIXA EM FOLHA PARA PAREDE OU MADEIRA, NUMERO 120, COR VERMELHA                                                                                                                                                                                                                                                                                                                                                                                                                                            </t>
  </si>
  <si>
    <t>MASSA ACRILICA PARA SUPERFICIES INTERNAS E EXTERNAS</t>
  </si>
  <si>
    <t xml:space="preserve">SELADOR ACRILICO OPACO PREMIUM INTERIOR/EXTERIOR                                                                                                                                                                                                                                                                                                                                                                                                                                                          </t>
  </si>
  <si>
    <t xml:space="preserve">MASSA PREMIUM PARA TEXTURA LISA DE BASE ACRILICA, USO INTERNO E EXTERNO                                                                                                                                                                                                                                                                                                                                                                                                                                   </t>
  </si>
  <si>
    <t xml:space="preserve">DILUENTE AGUARRAS                                                                                                                                                                                                                                                                                                                                                                                                                                                                                         </t>
  </si>
  <si>
    <t xml:space="preserve">TINTA ESMALTE SINTETICO PREMIUM FOSCO  </t>
  </si>
  <si>
    <t>QUADRO DE DISTRIBUICAO COM BARRAMENTO TRIFASICO, DE EMBUTIR, EM CHAPA DE ACO GALVANIZADO, PARA 30 DISJUNTORES DIN, 150 A</t>
  </si>
  <si>
    <t>ARGAMASSA TRAÇO 1:1:6 (EM VOLUME DE CIMENTO, CAL E AREIA MÉDIA ÚMIDA) PARA EMBOÇO/MASSA ÚNICA/ASSENTAMENTO DE ALVENARIA DE VEDAÇÃO, PREPARO MANUAL. AF_08/2019</t>
  </si>
  <si>
    <t>CABO DE COBRE, FLEXIVEL, CLASSE 4 OU 5, ISOLACAO EM PVC/A, ANTICHAMA BWF-B, COBERTURA PVC-ST1, ANTICHAMA BWF-B, 1 CONDUTOR, 0,6/1 KV, SECAO NOMINAL 16 MM2</t>
  </si>
  <si>
    <t xml:space="preserve">FITA ISOLANTE ADESIVA ANTICHAMA, USO ATE 750 V, EM ROLO DE 19 MM X 5 M  </t>
  </si>
  <si>
    <t>CABO DE COBRE, FLEXIVEL, CLASSE 4 OU 5, ISOLACAO EM PVC/A, ANTICHAMA BWF-B, COBERTURA PVC-ST1, ANTICHAMA BWF-B, 1 CONDUTOR, 0,6/1 KV, SECAO NOMINAL 25 MM2</t>
  </si>
  <si>
    <t>CABO DE COBRE, FLEXIVEL, CLASSE 4 OU 5, ISOLACAO EM PVC/A, ANTICHAMA BWF-B, 1 CONDUTOR, 450/750 V, SECAO NOMINAL 2,5 MM2</t>
  </si>
  <si>
    <t>CABO DE COBRE, FLEXIVEL, CLASSE 4 OU 5, ISOLACAO EM PVC/A, ANTICHAMA BWF-B, 1 CONDUTOR, 450/750 V, SECAO NOMINAL 4 MM2</t>
  </si>
  <si>
    <t>CABO DE COBRE, FLEXIVEL, CLASSE 4 OU 5, ISOLACAO EM PVC/A, ANTICHAMA BWF-B, 1 CONDUTOR, 450/750 V, SECAO NOMINAL 1,5 MM2</t>
  </si>
  <si>
    <t xml:space="preserve">LUVA EM PVC RIGIDO ROSCAVEL, DE 3/4", PARA ELETRODUTO  </t>
  </si>
  <si>
    <t>SUPORTE PARAFUSADO COM PLACA DE ENCAIXE 4" X 2" MÉDIO (1,30 M DO PISO) PARA PONTO ELÉTRICO - FORNECIMENTO E INSTALAÇÃO. AF_12/2015</t>
  </si>
  <si>
    <t>INTERRUPTOR SIMPLES (1 MÓDULO), 10A/250V, SEM SUPORTE E SEM PLACA - FORNECIMENTO E INSTALAÇÃO. AF_12/2015</t>
  </si>
  <si>
    <t>INTERRUPTOR SIMPLES (2 MÓDULOS), 10A/250V, SEM SUPORTE E SEM PLACA - FORNECIMENTO E INSTALAÇÃO. AF_12/2015</t>
  </si>
  <si>
    <t>INTERRUPTOR SIMPLES (3 MÓDULOS), 10A/250V, SEM SUPORTE E SEM PLACA - FORNECIMENTO E INSTALAÇÃO. AF_12/2015</t>
  </si>
  <si>
    <t xml:space="preserve">TOMADA 2P+T 10A, 250V  (APENAS MODULO) </t>
  </si>
  <si>
    <t xml:space="preserve">INTERRUPTOR SIMPLES 10A, 250V (APENAS MODULO) </t>
  </si>
  <si>
    <t xml:space="preserve">INTERRUPTOR PARALELO 10A, 250V (APENAS MODULO) </t>
  </si>
  <si>
    <t>TOMADA BAIXA DE EMBUTIR (1 MÓDULO), 2P+T 10 A, SEM SUPORTE E SEM PLACA - FORNECIMENTO E INSTALAÇÃO. AF_12/2015</t>
  </si>
  <si>
    <t>TOMADA MÉDIA DE EMBUTIR (1 MÓDULO), 2P+T 20 A, SEM SUPORTE E SEM PLACA - FORNECIMENTO E INSTALAÇÃO. AF_12/2015</t>
  </si>
  <si>
    <t>TOMADA ALTA DE EMBUTIR (1 MÓDULO), 2P+T 10 A, SEM SUPORTE E SEM PLACA - FORNECIMENTO E INSTALAÇÃO. AF_12/2015</t>
  </si>
  <si>
    <t>TOMADA BAIXA DE EMBUTIR (2 MÓDULOS), 2P+T 20 A, SEM SUPORTE E SEM PLACA - FORNECIMENTO E INSTALAÇÃO. AF_12/2015</t>
  </si>
  <si>
    <t>TERMINAL A COMPRESSAO EM COBRE ESTANHADO PARA CABO 2,5 MM2, 1 FURO E 1 COMPRESSAO, PARA PARAFUSO DE FIXACAO M5</t>
  </si>
  <si>
    <t xml:space="preserve">DISJUNTOR TIPO DIN/IEC, MONOPOLAR DE 6  ATE  32A  </t>
  </si>
  <si>
    <t xml:space="preserve">DISJUNTOR TIPO DIN/IEC, BIPOLAR DE 6 ATE 32A  </t>
  </si>
  <si>
    <t>TERMINAL A COMPRESSAO EM COBRE ESTANHADO PARA CABO 50 MM2, 1 FURO E 1 COMPRESSAO, PARA PARAFUSO DE FIXACAO M8</t>
  </si>
  <si>
    <t xml:space="preserve">DISJUNTOR TERMOMAGNETICO TRIPOLAR 125A  </t>
  </si>
  <si>
    <t xml:space="preserve">CAIXA DE PASSAGEM, EM PVC, DE 4" X 2", PARA ELETRODUTO FLEXIVEL CORRUGADO  </t>
  </si>
  <si>
    <t>ARGAMASSA TRAÇO 1:3 (EM VOLUME DE CIMENTO E AREIA MÉDIA ÚMIDA), PREPARO MANUAL. AF_08/2019</t>
  </si>
  <si>
    <t xml:space="preserve">ELETRODUTO DE PVC RIGIDO SOLDAVEL, CLASSE B, DE 25 MM  </t>
  </si>
  <si>
    <t xml:space="preserve">ELETRODUTO PVC FLEXIVEL CORRUGADO, COR AMARELA, DE 32 MM  </t>
  </si>
  <si>
    <t xml:space="preserve">ELETRODUTO PVC FLEXIVEL CORRUGADO, COR AMARELA, DE 25 MM  </t>
  </si>
  <si>
    <t xml:space="preserve">ELETRODUTO/DUTO PEAD FLEXIVEL PAREDE SIMPLES, CORRUGACAO HELICOIDAL, COR PRETA, SEM ROSCA, DE 1 1/2", PARA CABEAMENTO SUBTERRANEO (NBR 15715)                                                                                                                                                                                                                                                                                                                                                             </t>
  </si>
  <si>
    <t xml:space="preserve">PATCH PANEL, 24 PORTAS, CATEGORIA 6, COM RACKS DE 19" DE LARGURA E 1 U DE ALTURA                                                                                                                                                                                                                                                                                                                                                                                                                          </t>
  </si>
  <si>
    <t xml:space="preserve">CABO DE REDE, PAR TRANCADO U/UTP, 4 PARES, CATEGORIA 5E (CAT 5E), ISOLAMENTO PVC (LSZH)                                                                                                                                                                                                                                                                                                                                                                                                                   </t>
  </si>
  <si>
    <t>TOMADA RJ45, 8 FIOS, CAT 5E, CONJUNTO MONTADO PARA EMBUTIR 4" X 2" (PLACA + SUPORTE + MODULO)</t>
  </si>
  <si>
    <t xml:space="preserve">CONDULETE DE ALUMINIO TIPO C, PARA ELETRODUTO ROSCAVEL DE 1", COM TAMPA CEGA  </t>
  </si>
  <si>
    <t xml:space="preserve">ELETRODUTO DE PVC RIGIDO ROSCAVEL DE 3/4 ", SEM LUVA  </t>
  </si>
  <si>
    <t>ELETRODUTO FLEXIVEL PLANO EM PEAD, COR PRETA E LARANJA,  DIAMETRO 40 MM</t>
  </si>
  <si>
    <t xml:space="preserve">CAIXA DE INSPECAO PARA ATERRAMENTO E PARA RAIOS, EM POLIPROPILENO,  DIAMETRO = 300 MM X ALTURA = 400 MM                                                                                                                                                                                                                                                                                                                                                                                                   </t>
  </si>
  <si>
    <t>PREPARO DE FUNDO DE VALA COM LARGURA MENOR QUE 1,5 M, COM CAMADA DE AREIA, LANÇAMENTO MANUAL. AF_08/2020</t>
  </si>
  <si>
    <t xml:space="preserve">HASTE DE ATERRAMENTO EM ACO COM 3,00 M DE COMPRIMENTO E DN = 3/4", REVESTIDA COM BAIXA CAMADA DE COBRE, SEM CONECTOR                                                                                                                                                                                                                                                                                                                                                                                      </t>
  </si>
  <si>
    <t xml:space="preserve">CABO DE COBRE NU 25 MM2 MEIO-DURO  </t>
  </si>
  <si>
    <t>SUPORTE ISOLADOR PARA CORDOALHA DE COBRE - FORNECIMENTO E INSTALAÇÃO. AF_12/2017</t>
  </si>
  <si>
    <t xml:space="preserve">CABO DE COBRE NU 35 MM2 MEIO-DURO  </t>
  </si>
  <si>
    <t xml:space="preserve">CABO DE COBRE NU 50 MM2 MEIO-DURO  </t>
  </si>
  <si>
    <t xml:space="preserve">ADESIVO PLASTICO PARA PVC, FRASCO COM *850* GR                                                                                                                                                                                                                                                                                                                                                                                                                                                            </t>
  </si>
  <si>
    <t xml:space="preserve">JOELHO PVC, SOLDAVEL, 90 GRAUS, 25 MM, PARA AGUA FRIA PREDIAL  </t>
  </si>
  <si>
    <t xml:space="preserve">LUVA PVC SOLDAVEL, 25 MM, PARA AGUA FRIA PREDIAL  </t>
  </si>
  <si>
    <t xml:space="preserve">LUVA PVC SOLDAVEL, 50 MM, PARA AGUA FRIA PREDIAL  </t>
  </si>
  <si>
    <t xml:space="preserve">TUBO PVC, SOLDAVEL, DN 25 MM, AGUA FRIA (NBR-5648)  </t>
  </si>
  <si>
    <t xml:space="preserve">VALVULA DE DESCARGA METALICA, BASE 1 1/2 " E ACABAMENTO METALICO CROMADO  </t>
  </si>
  <si>
    <t>REGISTRO GAVETA COM ACABAMENTO E CANOPLA CROMADOS, SIMPLES, BITOLA 3/4 " (REF 1509)</t>
  </si>
  <si>
    <t xml:space="preserve">REGISTRO DE ESFERA, PVC, COM VOLANTE, VS, ROSCAVEL, DN 3/4", COM CORPO DIVIDIDO  </t>
  </si>
  <si>
    <t>REGISTRO GAVETA COM ACABAMENTO E CANOPLA CROMADOS, SIMPLES, BITOLA 1 1/2 " (REF 1509)</t>
  </si>
  <si>
    <t xml:space="preserve">REGISTRO GAVETA BRUTO EM LATAO FORJADO, BITOLA 1 1/2 " (REF 1509)  </t>
  </si>
  <si>
    <t xml:space="preserve">LUVA SOLDAVEL COM ROSCA, PVC, 25 MM X 3/4", PARA AGUA FRIA PREDIAL  </t>
  </si>
  <si>
    <t>ADAPTADOR PVC SOLDAVEL, COM FLANGE E ANEL DE VEDACAO, 25 MM X 3/4", PARA CAIXA D'AGUA</t>
  </si>
  <si>
    <t>ADAPTADOR PVC SOLDAVEL, COM FLANGE E ANEL DE VEDACAO, 50 MM X 1 1/2", PARA CAIXA D'AGUA</t>
  </si>
  <si>
    <t xml:space="preserve">ADAPTADOR PVC SOLDAVEL CURTO COM BOLSA E ROSCA, 25 MM X 3/4", PARA AGUA FRIA  </t>
  </si>
  <si>
    <t xml:space="preserve">TE SOLDAVEL, PVC, 90 GRAUS, 25 MM, PARA AGUA FRIA PREDIAL (NBR 5648)  </t>
  </si>
  <si>
    <t>JOELHO PVC, SOLDAVEL, COM BUCHA DE LATAO, 90 GRAUS, 25 MM X 3/4", PARA AGUA FRIA PREDIAL</t>
  </si>
  <si>
    <t xml:space="preserve">FITA VEDA ROSCA EM ROLOS DE 18 MM X 10 M (L X C)  </t>
  </si>
  <si>
    <t xml:space="preserve">ENGATE/RABICHO FLEXIVEL PLASTICO (PVC OU ABS) BRANCO 1/2 " X 30 CM  </t>
  </si>
  <si>
    <t>ENGATE FLEXÍVEL EM PLÁSTICO BRANCO, 1/2” X 40CM - FORNECIMENTO E INSTALAÇÃO. AF_01/2020</t>
  </si>
  <si>
    <t>VASO SANITARIO SIFONADO CONVENCIONAL PARA PCD SEM FURO FRONTAL COM  LOUÇA BRANCA SEM ASSENTO -  FORNECIMENTO E INSTALAÇÃO. AF_01/2020</t>
  </si>
  <si>
    <t>VÁLVULA EM PLÁSTICO 1” PARA PIA, TANQUE OU LAVATÓRIO, COM OU SEM LADRÃO - FORNECIMENTO E INSTALAÇÃO. AF_01/2020</t>
  </si>
  <si>
    <t>SIFÃO DO TIPO FLEXÍVEL EM PVC 1  X 1.1/2  - FORNECIMENTO E INSTALAÇÃO. AF_01/2020</t>
  </si>
  <si>
    <t>ENGATE FLEXÍVEL EM PLÁSTICO BRANCO, 1/2” X 30CM - FORNECIMENTO E INSTALAÇÃO. AF_01/2020</t>
  </si>
  <si>
    <t>LAVATÓRIO LOUÇA BRANCA SUSPENSO, 29,5 X 39CM OU EQUIVALENTE, PADRÃO POPULAR - FORNECIMENTO E INSTALAÇÃO. AF_01/2020</t>
  </si>
  <si>
    <t>TORNEIRA CROMADA DE MESA, 1/2” OU 3/4”, PARA LAVATÓRIO, PADRÃO POPULAR - FORNECIMENTO E INSTALAÇÃO. AF_01/2020</t>
  </si>
  <si>
    <t xml:space="preserve">LAVATORIO DE LOUCA BRANCA, COM COLUNA, DIMENSOES *54 X 44* CM (L X C)                                                                                                                                                                                                                                                                                                                                                                                                                                     </t>
  </si>
  <si>
    <t>REJUNTE EPOXI, QUALQUER COR</t>
  </si>
  <si>
    <t>MASSA PLASTICA PARA MARMORE/GRANITO</t>
  </si>
  <si>
    <t xml:space="preserve">LAVATORIO / CUBA DE EMBUTIR, OVAL, DE LOUCA BRANCA, SEM LADRAO, DIMENSOES *50 X 35* CM (L X C)                                                                                                                                                                                                                                                                                                                                                                                                            </t>
  </si>
  <si>
    <t xml:space="preserve">CUBA ACO INOX (AISI 304) DE EMBUTIR COM VALVULA 3 1/2 ", DE *46 X 30 X 12* CM  </t>
  </si>
  <si>
    <t xml:space="preserve">TORNEIRA METALICA CROMADA, RETA, DE PAREDE, PARA COZINHA, SEM BICO, SEM AREJADOR, PADRAO POPULAR, 1/2 " OU 3/4 " (REF 1158)                                                                                                                                                                                                                                                                                                                                                                               </t>
  </si>
  <si>
    <t xml:space="preserve">TORNEIRA METALICA CROMADA DE MESA PARA LAVATORIO, BICA ALTA, COM AREJADOR (REF 1195)                                                                                                                                                                                                                                                                                                                                                                                                                      </t>
  </si>
  <si>
    <t xml:space="preserve">TORNEIRA METALICA CROMADA CANO CURTO, SEM BICO, SEM AREJADOR, DE PAREDE, PARA TANQUE E USO GERAL, 1/2 " OU 3/4 " (REF 1143)                                                                                                                                                                                                                                                                                                                                                                               </t>
  </si>
  <si>
    <t>SABONETEIRA PLASTICA TIPO DISPENSER PARA SABONETE LIQUIDO COM RESERVATORIO 800 A 1500 ML</t>
  </si>
  <si>
    <t xml:space="preserve">CAIXA SIFONADA PVC, 100 X 100 X 50 MM, COM GRELHA REDONDA, BRANCA                                                                                                                                                                                                                                                                                                                                                                                                                                         </t>
  </si>
  <si>
    <t xml:space="preserve">ANEL BORRACHA PARA TUBO ESGOTO PREDIAL, DN 50 MM (NBR 5688)                                                                                                                                                                                                                                                                                                                                                                                                                                               </t>
  </si>
  <si>
    <t xml:space="preserve">JOELHO PVC, SOLDAVEL, PB, 45 GRAUS, DN 50 MM, PARA ESGOTO PREDIAL  </t>
  </si>
  <si>
    <t xml:space="preserve">PASTA LUBRIFICANTE PARA TUBOS E CONEXOES COM JUNTA ELASTICA, EMBALAGEM DE *400* GR (USO EM PVC, ACO, POLIETILENO E OUTROS)                                                                                                                                                                                                                                                                                                                                                                                </t>
  </si>
  <si>
    <t xml:space="preserve">ANEL BORRACHA PARA TUBO ESGOTO PREDIAL, DN 100 MM (NBR 5688)  </t>
  </si>
  <si>
    <t xml:space="preserve">JOELHO PVC, SOLDAVEL, PB, 45 GRAUS, DN 100 MM, PARA ESGOTO PREDIAL  </t>
  </si>
  <si>
    <t xml:space="preserve">ANEL BORRACHA PARA TUBO ESGOTO PREDIAL, DN 75 MM (NBR 5688)                                                                                                                                                                                                                                                                                                                                                                                                                                               </t>
  </si>
  <si>
    <t xml:space="preserve">JOELHO PVC, SOLDAVEL, PB, 90 GRAUS, DN 75 MM, PARA ESGOTO PREDIAL  </t>
  </si>
  <si>
    <t xml:space="preserve">JOELHO PVC, SOLDAVEL, BB, 90 GRAUS, DN 40 MM, PARA ESGOTO PREDIAL  </t>
  </si>
  <si>
    <t xml:space="preserve">JOELHO PVC, SOLDAVEL, PB, 90 GRAUS, DN 50 MM, PARA ESGOTO PREDIAL  </t>
  </si>
  <si>
    <t xml:space="preserve">JOELHO PVC, SOLDAVEL, PB, 90 GRAUS, DN 100 MM, PARA ESGOTO PREDIAL  </t>
  </si>
  <si>
    <t xml:space="preserve">JUNCAO SIMPLES, PVC, DN 50 X 50 MM, SERIE NORMAL PARA ESGOTO PREDIAL  </t>
  </si>
  <si>
    <t xml:space="preserve">TUBO PVC  SERIE NORMAL, DN 40 MM, PARA ESGOTO  PREDIAL (NBR 5688)  </t>
  </si>
  <si>
    <t xml:space="preserve">TUBO PVC SERIE NORMAL, DN 50 MM, PARA ESGOTO PREDIAL (NBR 5688)  </t>
  </si>
  <si>
    <t xml:space="preserve">TUBO PVC  SERIE NORMAL, DN 100 MM, PARA ESGOTO  PREDIAL (NBR 5688)  </t>
  </si>
  <si>
    <t>TUBO PVC, SERIE NORMAL, ESGOTO PREDIAL, DN 75 MM,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</si>
  <si>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</si>
  <si>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</si>
  <si>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SIMPLES, PVC, SERIE NORMAL, ESGOTO PREDIAL, DN 75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</si>
  <si>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</si>
  <si>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</si>
  <si>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TUBO PVC, SERIE NORMAL, ESGOTO PREDIAL, DN 75 MM,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</si>
  <si>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</si>
  <si>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</si>
  <si>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LUVA SIMPLES, PVC, SERIE NORMAL, ESGOTO PREDIAL, DN 75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</si>
  <si>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</si>
  <si>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</si>
  <si>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</si>
  <si>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</si>
  <si>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</si>
  <si>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</si>
  <si>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 xml:space="preserve">TE SANITARIO, PVC, DN 50 X 50 MM, SERIE NORMAL, PARA ESGOTO PREDIAL  </t>
  </si>
  <si>
    <t xml:space="preserve">CAIXA DE GORDURA EM PVC, DIAMETRO MINIMO 300 MM, DIAMETRO DE SAIDA 100 MM, CAPACIDADE  APROXIMADA 18 LITROS, COM TAMPA E CESTO                                                                                                                                                                                                                                                                                                                                                                            </t>
  </si>
  <si>
    <t>SIFAO / TUBO SINFONADO EXTENSIVEL/SANFONADO, UNIVERSAL/ SIMPLES, ENTRE *50 A 70* CM, DE PLASTICO BRANCO</t>
  </si>
  <si>
    <t>VALVULA EM PLASTICO BRANCO PARA TANQUE OU LAVATORIO 1 ", SEM UNHO E SEM LADRAO</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</si>
  <si>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</si>
  <si>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</si>
  <si>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TIJOLO CERAMICO MACICO COMUM *5 X 10 X 20* CM (L X A X C)</t>
  </si>
  <si>
    <t>CORTE E DOBRA DE AÇO CA-60, DIÂMETRO DE 4,2 MM. AF_06/2022</t>
  </si>
  <si>
    <t>PEÇA RETANGULAR PRÉ-MOLDADA, VOLUME DE CONCRETO DE 30 A 100 LITROS, TAXA DE AÇO APROXIMADA DE 30KG/M³. AF_01/2018</t>
  </si>
  <si>
    <t>LONA PLASTICA EXTRA FORTE PRETA, E = 200 MICRA</t>
  </si>
  <si>
    <t xml:space="preserve">M2    </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</si>
  <si>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</si>
  <si>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</si>
  <si>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</si>
  <si>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FABRICAÇÃO, MONTAGEM E DESMONTAGEM DE FORMA PARA RADIER, PISO DE CONCRETO OU LAJE SOBRE SOLO, EM MADEIRA SERRADA, 4 UTILIZAÇÕES. AF_09/2021</t>
  </si>
  <si>
    <t>ARMAÇÃO PARA EXECUÇÃO DE RADIER, PISO DE CONCRETO OU LAJE SOBRE SOLO, COM USO DE TELA Q-138. AF_09/2021</t>
  </si>
  <si>
    <t>CONCRETAGEM DE RADIER, PISO DE CONCRETO OU LAJE SOBRE SOLO, FCK 30 MPA - LANÇAMENTO, ADENSAMENTO E ACABAMENTO. AF_09/2021</t>
  </si>
  <si>
    <t>ALVENARIA DE BLOCOS DE CONCRETO ESTRUTURAL 14X19X39 CM, (ESPESSURA 14 CM), FBK = 4,5 MPA, PARA PAREDES COM ÁREA LÍQUIDA MENOR QUE 6M², SEM VÃOS, UTILIZANDO PALHETA. AF_12/2014</t>
  </si>
  <si>
    <t xml:space="preserve">PEDRA BRITADA N. 2 (19 A 38 MM) POSTO PEDREIRA/FORNECEDOR, SEM FRETE  </t>
  </si>
  <si>
    <t>SUPORTE MAO-FRANCESA EM ACO, ABAS IGUAIS 40 CM, CAPACIDADE MINIMA 70 KG, BRANCO</t>
  </si>
  <si>
    <t>ADESIVO ESTRUTURAL A BASE DE RESINA EPOXI, BICOMPONENTE, PASTOSO (TIXOTROPICO)</t>
  </si>
  <si>
    <t>ARGAMASSA COLANTE TIPO AC III E</t>
  </si>
  <si>
    <t>DIVISORIA EM GRANITO, COM DUAS FACES POLIDAS, TIPO ANDORINHA/ QUARTZ/ CASTELO/ CORUMBA OU OUTROS EQUIVALENTES DA REGIAO, E=  *3,0*  CM</t>
  </si>
  <si>
    <t>ADITIVO IMPERMEABILIZANTE DE PEGA NORMAL PARA ARGAMASSAS E CONCRETOS SEM ARMACAO, LIQUIDO E ISENTO DE CLORETOS</t>
  </si>
  <si>
    <t>ARGAMASSA TRAÇO 1:3 (EM VOLUME DE CIMENTO E AREIA MÉDIA ÚMIDA) PARA CONTRAPISO, PREPARO MECÂNICO COM BETONEIRA 400 L. AF_08/2019</t>
  </si>
  <si>
    <t xml:space="preserve">PREGO DE ACO POLIDO COM CABECA 15 X 18 (1 1/2 X 13)  </t>
  </si>
  <si>
    <t>FABRICAÇÃO DE FÔRMA PARA PILARES E ESTRUTURAS SIMILARES, EM CHAPA DE MADEIRA COMPENSADA RESINADA, E = 17 MM. AF_09/2020</t>
  </si>
  <si>
    <t>TELA DE ACO SOLDADA GALVANIZADA/ZINCADA PARA ALVENARIA, FIO D = *1,24 MM, MALHA 25 X 25 MM</t>
  </si>
  <si>
    <t xml:space="preserve">PO DE PEDRA (POSTO PEDREIRA/FORNECEDOR, SEM FRETE)  </t>
  </si>
  <si>
    <t>BLOQUETE/PISO INTERTRAVADO DE CONCRETO - MODELO ONDA/16 FACES/RETANGULAR/TIJOLINHO/PAVER/HOLANDES/PARALELEPIPEDO, *22 CM X 11* CM, E = 8 CM, RESISTENCIA DE 35 MPA (NBR 9781),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</si>
  <si>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</si>
  <si>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</si>
  <si>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</si>
  <si>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SARRAFO *2,5 X 10* CM EM PINUS, MISTA OU EQUIVALENTE DA REGIAO - BRUTA</t>
  </si>
  <si>
    <t>TELA DE ACO SOLDADA NERVURADA, CA-60, Q-196, (3,11 KG/M2), DIAMETRO DO FIO = 5,0 MM, LARGURA = 2,45 M, ESPACAMENTO DA MALHA = 10 X 10 CM</t>
  </si>
  <si>
    <t>CONCRETO FCK = 20MPA, TRAÇO 1:2,7:3 (EM MASSA SECA DE CIMENTO/ AREIA MÉDIA/ BRITA 1) - PREPARO MECÂNICO COM BETONEIRA 400 L. AF_05/2021</t>
  </si>
  <si>
    <t>CONCRETO USINADO BOMBEAVEL, CLASSE DE RESISTENCIA C20, COM BRITA 0 E 1, SLUMP = 100 +/- 20 MM, EXCLUI SERVICO DE BOMBEAMENTO (NBR 8953)</t>
  </si>
  <si>
    <t>AJUDANTE ESPECIALIZADO COM ENCARGOS COMPLEMENTARES</t>
  </si>
  <si>
    <t>ARGAMASSA TRAÇO 1:4 (EM VOLUME DE CIMENTO E AREIA MÉDIA ÚMIDA), PREPARO MANUAL. AF_08/2019</t>
  </si>
  <si>
    <t>MÁQUINA EXTRUSORA DE CONCRETO PARA GUIAS E SARJETAS, MOTOR A DIESEL, POTÊNCIA 14 CV - CHP DIURNO. AF_12/2015</t>
  </si>
  <si>
    <t>MÁQUINA EXTRUSORA DE CONCRETO PARA GUIAS E SARJETAS, MOTOR A DIESEL, POTÊNCIA 14 CV - CHI DIURNO. AF_12/2015</t>
  </si>
  <si>
    <t xml:space="preserve">GRAMA BATATAIS EM PLACAS, SEM PLANTIO  </t>
  </si>
  <si>
    <t>MUDA DE ARVORE ORNAMENTAL, OITI/AROEIRA SALSA/ANGICO/IPE/JACARANDA OU EQUIVALENTE  DA REGIAO, H= *1* M</t>
  </si>
  <si>
    <t>MUDA DE RASTEIRA/FORRACAO, AMENDOIM RASTEIRO/ONZE HORAS/AZULZINHA/IMPATIENS OU EQUIVALENTE DA REGIAO</t>
  </si>
  <si>
    <t>PISO TATIL DE ALERTA OU DIRECIONAL, DE BORRACHA, COLORIDO, 25 X 25 CM, E = 12 MM, PARA ARGAMASSA</t>
  </si>
  <si>
    <t xml:space="preserve">TINTA ACRILICA PREMIUM PARA PISO  </t>
  </si>
  <si>
    <t>FITA CREPE ROLO DE 25 MM X 50 M</t>
  </si>
  <si>
    <t>LAVADORA DE ALTA PRESSAO (LAVA-JATO) PARA AGUA FRIA, PRESSAO DE OPERACAO ENTRE 1400 E 1900 LIB/POL2, VAZAO MAXIMA ENTRE 400 E 700 L/H - CHP DIURNO. AF_04/2019</t>
  </si>
  <si>
    <t>PRÓPRIO</t>
  </si>
  <si>
    <t>***</t>
  </si>
  <si>
    <t>ENCARGOS SOCIAIS SOBRE A MÃO DE OBRA</t>
  </si>
  <si>
    <t xml:space="preserve">
 Resolução Normativa 018/2017 com base no Acórdão do TCU 2622/2013</t>
  </si>
  <si>
    <t xml:space="preserve">  MATO GROSSO</t>
  </si>
  <si>
    <t>SEM  DESONERAÇÃO</t>
  </si>
  <si>
    <t>HORISTA (%)</t>
  </si>
  <si>
    <t>MENSALISTA (%)</t>
  </si>
  <si>
    <t>GRUPO A</t>
  </si>
  <si>
    <t>A1</t>
  </si>
  <si>
    <t>INSS</t>
  </si>
  <si>
    <t>A2</t>
  </si>
  <si>
    <t>SESI</t>
  </si>
  <si>
    <t>A3</t>
  </si>
  <si>
    <t>SENAI</t>
  </si>
  <si>
    <t>A4</t>
  </si>
  <si>
    <t>INCRA</t>
  </si>
  <si>
    <t>A5</t>
  </si>
  <si>
    <t>SEBRAE</t>
  </si>
  <si>
    <t>A6</t>
  </si>
  <si>
    <t>Salario Educação</t>
  </si>
  <si>
    <t>A7</t>
  </si>
  <si>
    <t>Seguro Contra Acidentes de Trabalho</t>
  </si>
  <si>
    <t>A8</t>
  </si>
  <si>
    <t>FGTS</t>
  </si>
  <si>
    <t>A9</t>
  </si>
  <si>
    <t>SECONCI</t>
  </si>
  <si>
    <t>A</t>
  </si>
  <si>
    <t>GRUPO B</t>
  </si>
  <si>
    <t>B1</t>
  </si>
  <si>
    <t>Repouso Semanal Remunerado</t>
  </si>
  <si>
    <t>Não incide</t>
  </si>
  <si>
    <t>B2</t>
  </si>
  <si>
    <t>Feriados</t>
  </si>
  <si>
    <t>B3</t>
  </si>
  <si>
    <t>Auxilio - Enfermidade</t>
  </si>
  <si>
    <t>B4</t>
  </si>
  <si>
    <t>13º Salario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</si>
  <si>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</si>
  <si>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</si>
  <si>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</si>
  <si>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</si>
  <si>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</si>
  <si>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</si>
  <si>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</si>
  <si>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</si>
  <si>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</si>
  <si>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</si>
  <si>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</si>
  <si>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</si>
  <si>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</si>
  <si>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</si>
  <si>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</si>
  <si>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</si>
  <si>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</si>
  <si>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</si>
  <si>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</si>
  <si>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</si>
  <si>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</si>
  <si>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</si>
  <si>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</si>
  <si>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</si>
  <si>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</si>
  <si>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</si>
  <si>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</si>
  <si>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</si>
  <si>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</si>
  <si>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</si>
  <si>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</si>
  <si>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</si>
  <si>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____________________________</t>
  </si>
  <si>
    <t>PAULO PAZETO MEDEIROS</t>
  </si>
  <si>
    <t>CPF 037.578.081-50</t>
  </si>
  <si>
    <t>CUIABÁ-MT, 15 DE MAIO DE 2023.</t>
  </si>
  <si>
    <t>_______________________________________</t>
  </si>
  <si>
    <t>DIRETOR/ENGENHEIRO CIVIL</t>
  </si>
  <si>
    <t>CREA MT034442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</si>
</sst>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0.000"/>
    <numFmt numFmtId="176" formatCode="#,##0.000000;[Red]#,##0.000000"/>
    <numFmt numFmtId="177" formatCode="#,##0.00000"/>
    <numFmt numFmtId="178" formatCode="#,##0.00000;[Red]#,##0.00000"/>
    <numFmt numFmtId="179" formatCode="0.00000"/>
    <numFmt numFmtId="180" formatCode="0.00&quot;m&quot;"/>
    <numFmt numFmtId="181" formatCode="#,##0.0000000;[Red]#,##0.0000000"/>
    <numFmt numFmtId="182" formatCode="&quot;R$&quot;\ #,##0.00"/>
    <numFmt numFmtId="183" formatCode="_(&quot;R$ &quot;* #,##0.00_);_(&quot;R$ &quot;* \(#,##0.00\);_(&quot;R$ &quot;* &quot;-&quot;??_);_(@_)"/>
  </numFmts>
  <fonts count="122">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2"/>
      <name val="Calibri"/>
      <family val="2"/>
      <scheme val="minor"/>
    </font>
    <font>
      <sz val="8"/>
      <name val="Arial"/>
      <family val="2"/>
    </font>
    <font>
      <b/>
      <sz val="16"/>
      <color theme="1"/>
      <name val="Calibri"/>
      <family val="2"/>
      <scheme val="minor"/>
    </font>
    <font>
      <sz val="20"/>
      <color theme="1"/>
      <name val="Calibri"/>
      <family val="2"/>
      <scheme val="minor"/>
    </font>
    <font>
      <b/>
      <sz val="13"/>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9"/>
      <color theme="1"/>
      <name val="Calibri"/>
      <family val="2"/>
    </font>
    <font>
      <sz val="11"/>
      <color theme="1"/>
      <name val="Calibri"/>
      <family val="2"/>
    </font>
    <font>
      <b/>
      <sz val="11"/>
      <name val="Calibri"/>
      <family val="2"/>
      <scheme val="minor"/>
    </font>
    <font>
      <sz val="11"/>
      <color indexed="10"/>
      <name val="Arial"/>
      <family val="2"/>
    </font>
    <font>
      <sz val="9"/>
      <color indexed="8"/>
      <name val="Calibri"/>
      <family val="2"/>
      <scheme val="minor"/>
    </font>
    <font>
      <sz val="9"/>
      <color indexed="10"/>
      <name val="Arial"/>
      <family val="2"/>
    </font>
    <font>
      <b/>
      <sz val="9"/>
      <color indexed="10"/>
      <name val="Arial"/>
      <family val="2"/>
    </font>
    <font>
      <sz val="11"/>
      <color rgb="FFFF0000"/>
      <name val="Calibri"/>
      <family val="2"/>
    </font>
    <font>
      <b/>
      <sz val="11"/>
      <color indexed="10"/>
      <name val="Arial"/>
      <family val="2"/>
    </font>
    <font>
      <b/>
      <sz val="9"/>
      <color indexed="10"/>
      <name val="Calibri"/>
      <family val="2"/>
    </font>
    <font>
      <b/>
      <sz val="10"/>
      <color indexed="10"/>
      <name val="Arial"/>
      <family val="2"/>
    </font>
    <font>
      <b/>
      <sz val="9"/>
      <color indexed="22"/>
      <name val="Arial"/>
      <family val="2"/>
    </font>
    <font>
      <sz val="11"/>
      <name val="Calibri"/>
      <family val="2"/>
    </font>
    <font>
      <b/>
      <sz val="10"/>
      <color indexed="8"/>
      <name val="Arial"/>
      <family val="2"/>
    </font>
    <font>
      <b/>
      <sz val="9"/>
      <color theme="1"/>
      <name val="Arial"/>
      <family val="2"/>
    </font>
    <font>
      <u/>
      <sz val="11"/>
      <color theme="10"/>
      <name val="Calibri"/>
      <family val="2"/>
      <scheme val="minor"/>
    </font>
    <font>
      <sz val="12"/>
      <color rgb="FF222222"/>
      <name val="Arial"/>
      <family val="2"/>
    </font>
    <font>
      <sz val="9"/>
      <color rgb="FFFF0000"/>
      <name val="Arial"/>
      <family val="2"/>
    </font>
    <font>
      <b/>
      <sz val="9"/>
      <color rgb="FFFF0000"/>
      <name val="Calibri"/>
      <family val="2"/>
      <scheme val="minor"/>
    </font>
    <font>
      <u/>
      <sz val="9"/>
      <color theme="10"/>
      <name val="Calibri"/>
      <family val="2"/>
      <scheme val="minor"/>
    </font>
    <font>
      <sz val="8"/>
      <color theme="1"/>
      <name val="Arial"/>
      <family val="2"/>
    </font>
    <font>
      <sz val="11"/>
      <color theme="10"/>
      <name val="Calibri"/>
      <family val="2"/>
      <scheme val="minor"/>
    </font>
    <font>
      <u/>
      <sz val="10"/>
      <color theme="10"/>
      <name val="Arial"/>
      <family val="2"/>
    </font>
    <font>
      <u/>
      <sz val="9"/>
      <color theme="10"/>
      <name val="Arial"/>
      <family val="2"/>
    </font>
    <font>
      <b/>
      <sz val="9"/>
      <color theme="1"/>
      <name val="Calibri Light"/>
      <family val="2"/>
    </font>
    <font>
      <sz val="9"/>
      <color theme="1"/>
      <name val="Calibri Light"/>
      <family val="2"/>
    </font>
    <font>
      <b/>
      <sz val="12"/>
      <color theme="0"/>
      <name val="Trebuchet MS"/>
      <family val="2"/>
    </font>
    <font>
      <sz val="10"/>
      <name val="Arial"/>
      <family val="2"/>
      <charset val="1"/>
    </font>
    <font>
      <b/>
      <sz val="12"/>
      <color theme="0"/>
      <name val="Calibri Light"/>
      <family val="2"/>
    </font>
    <font>
      <sz val="11"/>
      <name val="Trebuchet MS"/>
      <family val="2"/>
    </font>
    <font>
      <b/>
      <sz val="11"/>
      <name val="Trebuchet MS"/>
      <family val="2"/>
    </font>
    <font>
      <b/>
      <sz val="11"/>
      <color theme="0"/>
      <name val="Trebuchet MS"/>
      <family val="2"/>
    </font>
    <font>
      <sz val="11"/>
      <color rgb="FF000000"/>
      <name val="Trebuchet MS"/>
      <family val="2"/>
    </font>
    <font>
      <b/>
      <sz val="11"/>
      <color rgb="FF000000"/>
      <name val="Trebuchet MS"/>
      <family val="2"/>
    </font>
  </fonts>
  <fills count="4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2060"/>
        <bgColor indexed="64"/>
      </patternFill>
    </fill>
    <fill>
      <patternFill patternType="solid">
        <fgColor theme="2" tint="-0.499984740745262"/>
        <bgColor indexed="64"/>
      </patternFill>
    </fill>
    <fill>
      <patternFill patternType="solid">
        <fgColor theme="4" tint="-0.249977111117893"/>
        <bgColor indexed="64"/>
      </patternFill>
    </fill>
  </fills>
  <borders count="140">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D9D9D9"/>
      </bottom>
      <diagonal/>
    </border>
    <border>
      <left/>
      <right style="medium">
        <color indexed="64"/>
      </right>
      <top style="medium">
        <color rgb="FF000000"/>
      </top>
      <bottom style="medium">
        <color rgb="FFD9D9D9"/>
      </bottom>
      <diagonal/>
    </border>
    <border>
      <left style="medium">
        <color indexed="64"/>
      </left>
      <right style="medium">
        <color rgb="FFD9D9D9"/>
      </right>
      <top/>
      <bottom style="medium">
        <color rgb="FFD9D9D9"/>
      </bottom>
      <diagonal/>
    </border>
    <border>
      <left/>
      <right style="medium">
        <color indexed="64"/>
      </right>
      <top/>
      <bottom style="medium">
        <color rgb="FFD9D9D9"/>
      </bottom>
      <diagonal/>
    </border>
    <border>
      <left style="medium">
        <color indexed="64"/>
      </left>
      <right/>
      <top/>
      <bottom style="medium">
        <color rgb="FFD9D9D9"/>
      </bottom>
      <diagonal/>
    </border>
    <border>
      <left style="medium">
        <color indexed="64"/>
      </left>
      <right/>
      <top style="medium">
        <color rgb="FFD9D9D9"/>
      </top>
      <bottom style="medium">
        <color rgb="FFD9D9D9"/>
      </bottom>
      <diagonal/>
    </border>
    <border>
      <left/>
      <right style="medium">
        <color indexed="64"/>
      </right>
      <top style="medium">
        <color rgb="FFD9D9D9"/>
      </top>
      <bottom style="medium">
        <color rgb="FFD9D9D9"/>
      </bottom>
      <diagonal/>
    </border>
    <border>
      <left style="medium">
        <color indexed="64"/>
      </left>
      <right style="medium">
        <color rgb="FFD9D9D9"/>
      </right>
      <top/>
      <bottom style="medium">
        <color indexed="64"/>
      </bottom>
      <diagonal/>
    </border>
    <border>
      <left style="medium">
        <color indexed="64"/>
      </left>
      <right/>
      <top style="medium">
        <color indexed="64"/>
      </top>
      <bottom style="medium">
        <color rgb="FFD9D9D9"/>
      </bottom>
      <diagonal/>
    </border>
    <border>
      <left/>
      <right style="medium">
        <color indexed="64"/>
      </right>
      <top style="medium">
        <color indexed="64"/>
      </top>
      <bottom style="medium">
        <color rgb="FFD9D9D9"/>
      </bottom>
      <diagonal/>
    </border>
    <border>
      <left style="medium">
        <color indexed="64"/>
      </left>
      <right/>
      <top style="medium">
        <color rgb="FFD9D9D9"/>
      </top>
      <bottom style="medium">
        <color indexed="64"/>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s>
  <cellStyleXfs count="6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32" fillId="0" borderId="0"/>
    <xf numFmtId="0" fontId="32" fillId="0" borderId="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3" borderId="0" applyNumberFormat="0" applyBorder="0" applyAlignment="0" applyProtection="0"/>
    <xf numFmtId="0" fontId="37" fillId="8" borderId="0" applyNumberFormat="0" applyBorder="0" applyAlignment="0" applyProtection="0"/>
    <xf numFmtId="0" fontId="38" fillId="27" borderId="60" applyNumberFormat="0" applyAlignment="0" applyProtection="0"/>
    <xf numFmtId="0" fontId="52" fillId="28" borderId="60" applyNumberFormat="0" applyAlignment="0" applyProtection="0"/>
    <xf numFmtId="0" fontId="39" fillId="29" borderId="61" applyNumberFormat="0" applyAlignment="0" applyProtection="0"/>
    <xf numFmtId="0" fontId="45" fillId="18" borderId="60" applyNumberFormat="0" applyAlignment="0" applyProtection="0"/>
    <xf numFmtId="0" fontId="40" fillId="0" borderId="0" applyNumberFormat="0" applyFill="0" applyBorder="0" applyAlignment="0" applyProtection="0"/>
    <xf numFmtId="0" fontId="41" fillId="9" borderId="0" applyNumberFormat="0" applyBorder="0" applyAlignment="0" applyProtection="0"/>
    <xf numFmtId="0" fontId="42" fillId="0" borderId="62" applyNumberFormat="0" applyFill="0" applyAlignment="0" applyProtection="0"/>
    <xf numFmtId="0" fontId="43" fillId="0" borderId="63" applyNumberFormat="0" applyFill="0" applyAlignment="0" applyProtection="0"/>
    <xf numFmtId="0" fontId="44" fillId="0" borderId="64" applyNumberFormat="0" applyFill="0" applyAlignment="0" applyProtection="0"/>
    <xf numFmtId="0" fontId="44" fillId="0" borderId="0" applyNumberFormat="0" applyFill="0" applyBorder="0" applyAlignment="0" applyProtection="0"/>
    <xf numFmtId="0" fontId="37" fillId="10" borderId="0" applyNumberFormat="0" applyBorder="0" applyAlignment="0" applyProtection="0"/>
    <xf numFmtId="0" fontId="45" fillId="12" borderId="60" applyNumberFormat="0" applyAlignment="0" applyProtection="0"/>
    <xf numFmtId="0" fontId="46" fillId="0" borderId="65" applyNumberFormat="0" applyFill="0" applyAlignment="0" applyProtection="0"/>
    <xf numFmtId="0" fontId="47" fillId="18" borderId="0" applyNumberFormat="0" applyBorder="0" applyAlignment="0" applyProtection="0"/>
    <xf numFmtId="0" fontId="9" fillId="15" borderId="66" applyNumberFormat="0" applyFont="0" applyAlignment="0" applyProtection="0"/>
    <xf numFmtId="0" fontId="32" fillId="15" borderId="66" applyNumberFormat="0" applyFont="0" applyAlignment="0" applyProtection="0"/>
    <xf numFmtId="0" fontId="48" fillId="27" borderId="67" applyNumberFormat="0" applyAlignment="0" applyProtection="0"/>
    <xf numFmtId="0" fontId="48" fillId="28" borderId="67" applyNumberFormat="0" applyAlignment="0" applyProtection="0"/>
    <xf numFmtId="0" fontId="51" fillId="0" borderId="0" applyNumberFormat="0" applyFill="0" applyBorder="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53" fillId="0" borderId="0" applyNumberFormat="0" applyFill="0" applyBorder="0" applyAlignment="0" applyProtection="0"/>
    <xf numFmtId="0" fontId="50" fillId="0" borderId="68" applyNumberFormat="0" applyFill="0" applyAlignment="0" applyProtection="0"/>
    <xf numFmtId="0" fontId="51" fillId="0" borderId="0" applyNumberFormat="0" applyFill="0" applyBorder="0" applyAlignment="0" applyProtection="0"/>
    <xf numFmtId="0" fontId="32" fillId="0" borderId="0"/>
    <xf numFmtId="0" fontId="103"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0" fontId="115" fillId="0" borderId="0"/>
    <xf numFmtId="0" fontId="115" fillId="0" borderId="0"/>
    <xf numFmtId="9" fontId="115" fillId="0" borderId="0" applyBorder="0" applyProtection="0"/>
  </cellStyleXfs>
  <cellXfs count="2475">
    <xf numFmtId="0" fontId="0" fillId="0" borderId="0" xfId="0"/>
    <xf numFmtId="0" fontId="8" fillId="0" borderId="0" xfId="0" applyFont="1" applyBorder="1" applyAlignment="1">
      <alignment horizontal="center" vertical="center" wrapText="1"/>
    </xf>
    <xf numFmtId="2" fontId="8" fillId="0" borderId="0" xfId="0" applyNumberFormat="1" applyFont="1" applyBorder="1" applyAlignment="1">
      <alignment vertical="center" wrapText="1"/>
    </xf>
    <xf numFmtId="0" fontId="8" fillId="0" borderId="0" xfId="0" applyFont="1" applyBorder="1" applyAlignment="1">
      <alignment vertical="center"/>
    </xf>
    <xf numFmtId="0" fontId="7" fillId="0" borderId="0" xfId="0" applyFont="1" applyBorder="1" applyAlignment="1">
      <alignment horizontal="justify" vertical="center" wrapText="1"/>
    </xf>
    <xf numFmtId="4" fontId="7" fillId="0" borderId="6" xfId="0" applyNumberFormat="1" applyFont="1" applyBorder="1" applyAlignment="1">
      <alignment horizontal="right" vertical="center"/>
    </xf>
    <xf numFmtId="4" fontId="7" fillId="0" borderId="13" xfId="2" applyNumberFormat="1" applyFont="1" applyFill="1" applyBorder="1" applyAlignment="1">
      <alignment horizontal="center" vertical="center" wrapText="1"/>
    </xf>
    <xf numFmtId="39" fontId="7" fillId="4" borderId="5" xfId="0" applyNumberFormat="1" applyFont="1" applyFill="1" applyBorder="1" applyAlignment="1">
      <alignment horizontal="right" vertical="center" wrapText="1"/>
    </xf>
    <xf numFmtId="10" fontId="8" fillId="0" borderId="0" xfId="0" applyNumberFormat="1" applyFont="1" applyBorder="1" applyAlignment="1">
      <alignment vertical="center"/>
    </xf>
    <xf numFmtId="2" fontId="8" fillId="0" borderId="17" xfId="0" applyNumberFormat="1" applyFont="1" applyBorder="1" applyAlignment="1">
      <alignment horizontal="center" vertical="center"/>
    </xf>
    <xf numFmtId="0" fontId="14" fillId="0" borderId="4" xfId="0" applyFont="1" applyBorder="1" applyAlignment="1">
      <alignment horizontal="center" vertical="center" wrapText="1"/>
    </xf>
    <xf numFmtId="0" fontId="7" fillId="0" borderId="0" xfId="0" applyFont="1" applyBorder="1" applyAlignment="1">
      <alignment horizontal="center" vertical="center" wrapText="1"/>
    </xf>
    <xf numFmtId="0" fontId="17" fillId="0" borderId="10" xfId="0" applyFont="1" applyBorder="1" applyAlignment="1">
      <alignment vertical="center" wrapText="1"/>
    </xf>
    <xf numFmtId="0" fontId="13" fillId="0" borderId="31" xfId="0" applyFont="1" applyBorder="1" applyAlignment="1">
      <alignment horizontal="center" vertical="center"/>
    </xf>
    <xf numFmtId="10" fontId="7" fillId="0" borderId="11" xfId="1" applyNumberFormat="1" applyFont="1" applyBorder="1" applyAlignment="1">
      <alignment vertical="center" wrapText="1"/>
    </xf>
    <xf numFmtId="0" fontId="16" fillId="0" borderId="0" xfId="0" applyFont="1" applyBorder="1" applyAlignment="1">
      <alignment horizontal="left" vertical="center"/>
    </xf>
    <xf numFmtId="0" fontId="0" fillId="0" borderId="0" xfId="0" applyBorder="1"/>
    <xf numFmtId="0" fontId="7" fillId="4" borderId="5" xfId="0" applyFont="1" applyFill="1" applyBorder="1" applyAlignment="1">
      <alignment horizontal="right" vertical="center"/>
    </xf>
    <xf numFmtId="4" fontId="8" fillId="0" borderId="0" xfId="0" applyNumberFormat="1" applyFont="1" applyFill="1" applyBorder="1" applyAlignment="1">
      <alignment horizontal="center" vertical="center"/>
    </xf>
    <xf numFmtId="0" fontId="15" fillId="0" borderId="0" xfId="0" applyFont="1" applyFill="1" applyBorder="1" applyAlignment="1">
      <alignment vertical="center"/>
    </xf>
    <xf numFmtId="0" fontId="0" fillId="0" borderId="0" xfId="0" applyFill="1" applyBorder="1"/>
    <xf numFmtId="0" fontId="15" fillId="0" borderId="0" xfId="0" applyFont="1" applyBorder="1" applyAlignment="1">
      <alignment vertical="center" wrapText="1"/>
    </xf>
    <xf numFmtId="0" fontId="6" fillId="0" borderId="0" xfId="0" applyFont="1" applyBorder="1" applyAlignment="1">
      <alignment vertical="center" wrapText="1"/>
    </xf>
    <xf numFmtId="0" fontId="4" fillId="0" borderId="0" xfId="0" applyFont="1" applyBorder="1" applyAlignment="1">
      <alignment vertical="center"/>
    </xf>
    <xf numFmtId="0" fontId="6" fillId="0" borderId="0" xfId="0" applyFont="1" applyBorder="1" applyAlignment="1">
      <alignment vertical="center"/>
    </xf>
    <xf numFmtId="0" fontId="8" fillId="0" borderId="31" xfId="0" applyFont="1" applyBorder="1" applyAlignment="1">
      <alignment horizontal="center" vertical="center" wrapText="1"/>
    </xf>
    <xf numFmtId="2" fontId="8" fillId="0" borderId="31" xfId="0" applyNumberFormat="1" applyFont="1" applyBorder="1" applyAlignment="1">
      <alignment vertical="center" wrapText="1"/>
    </xf>
    <xf numFmtId="0" fontId="8" fillId="0" borderId="31" xfId="0" applyFont="1" applyBorder="1" applyAlignment="1">
      <alignment vertical="center" wrapText="1"/>
    </xf>
    <xf numFmtId="0" fontId="17" fillId="0" borderId="4" xfId="0" applyFont="1" applyBorder="1" applyAlignment="1">
      <alignment horizontal="center" vertical="center" wrapText="1"/>
    </xf>
    <xf numFmtId="171" fontId="17" fillId="0" borderId="4" xfId="0" applyNumberFormat="1" applyFont="1" applyBorder="1" applyAlignment="1">
      <alignment horizontal="center" vertical="center" wrapText="1"/>
    </xf>
    <xf numFmtId="167" fontId="17" fillId="0" borderId="14" xfId="0" applyNumberFormat="1" applyFont="1" applyBorder="1" applyAlignment="1">
      <alignment horizontal="center" vertical="center" wrapText="1"/>
    </xf>
    <xf numFmtId="167" fontId="10" fillId="0" borderId="4" xfId="0" applyNumberFormat="1" applyFont="1" applyBorder="1" applyAlignment="1">
      <alignment horizontal="center" vertical="center"/>
    </xf>
    <xf numFmtId="167" fontId="10" fillId="0" borderId="14" xfId="0" applyNumberFormat="1" applyFont="1" applyBorder="1" applyAlignment="1">
      <alignment horizontal="center" vertical="center"/>
    </xf>
    <xf numFmtId="167" fontId="17" fillId="0" borderId="14" xfId="0" applyNumberFormat="1" applyFont="1" applyBorder="1" applyAlignment="1">
      <alignment horizontal="center" vertical="center"/>
    </xf>
    <xf numFmtId="0" fontId="15" fillId="0" borderId="22" xfId="0" applyFont="1" applyBorder="1" applyAlignment="1">
      <alignment vertical="center"/>
    </xf>
    <xf numFmtId="0" fontId="21" fillId="0" borderId="4" xfId="0" applyFont="1" applyBorder="1" applyAlignment="1">
      <alignment horizontal="justify" vertical="center" wrapText="1"/>
    </xf>
    <xf numFmtId="0" fontId="21" fillId="0" borderId="4" xfId="0" applyFont="1" applyBorder="1" applyAlignment="1">
      <alignment horizontal="center" vertical="center" wrapText="1"/>
    </xf>
    <xf numFmtId="171" fontId="21" fillId="0" borderId="4" xfId="0" applyNumberFormat="1" applyFont="1" applyBorder="1" applyAlignment="1">
      <alignment horizontal="center" vertical="center" wrapText="1"/>
    </xf>
    <xf numFmtId="167" fontId="21" fillId="0" borderId="14" xfId="0" applyNumberFormat="1" applyFont="1" applyBorder="1" applyAlignment="1">
      <alignment horizontal="center" vertical="center" wrapText="1"/>
    </xf>
    <xf numFmtId="0" fontId="15" fillId="0" borderId="22" xfId="0" applyFont="1" applyBorder="1" applyAlignment="1">
      <alignment horizontal="center" vertical="center"/>
    </xf>
    <xf numFmtId="0" fontId="15" fillId="0" borderId="4" xfId="0" applyFont="1" applyBorder="1" applyAlignment="1">
      <alignment horizontal="justify" vertical="center" wrapText="1"/>
    </xf>
    <xf numFmtId="0" fontId="15" fillId="0" borderId="4" xfId="0" applyFont="1" applyBorder="1" applyAlignment="1">
      <alignment horizontal="center" vertical="center" wrapText="1"/>
    </xf>
    <xf numFmtId="171" fontId="15" fillId="0" borderId="4" xfId="0" applyNumberFormat="1" applyFont="1" applyBorder="1" applyAlignment="1">
      <alignment horizontal="center" vertical="center" wrapText="1"/>
    </xf>
    <xf numFmtId="0" fontId="9" fillId="0" borderId="4" xfId="0" applyFont="1" applyBorder="1" applyAlignment="1">
      <alignment horizontal="justify" vertical="center" wrapText="1"/>
    </xf>
    <xf numFmtId="0" fontId="10" fillId="2" borderId="16" xfId="3" applyFont="1" applyFill="1" applyBorder="1" applyAlignment="1">
      <alignment horizontal="center" vertical="center"/>
    </xf>
    <xf numFmtId="14" fontId="20" fillId="0" borderId="26" xfId="0" applyNumberFormat="1" applyFont="1" applyBorder="1" applyAlignment="1">
      <alignment vertical="center" wrapText="1"/>
    </xf>
    <xf numFmtId="0" fontId="17" fillId="6" borderId="4" xfId="0" applyFont="1" applyFill="1" applyBorder="1" applyAlignment="1">
      <alignment horizontal="center" vertical="center" wrapText="1"/>
    </xf>
    <xf numFmtId="0" fontId="0" fillId="0" borderId="44" xfId="0" applyBorder="1" applyAlignment="1">
      <alignment vertical="center" wrapText="1"/>
    </xf>
    <xf numFmtId="0" fontId="11" fillId="0" borderId="31" xfId="0" applyFont="1" applyFill="1" applyBorder="1" applyAlignment="1">
      <alignment horizontal="center" vertical="center"/>
    </xf>
    <xf numFmtId="0" fontId="7" fillId="0" borderId="10" xfId="0" applyFont="1" applyBorder="1" applyAlignment="1">
      <alignment vertical="center" wrapText="1"/>
    </xf>
    <xf numFmtId="0" fontId="7" fillId="0" borderId="45" xfId="0" applyFont="1" applyBorder="1" applyAlignment="1">
      <alignment vertical="center" wrapText="1"/>
    </xf>
    <xf numFmtId="0" fontId="7" fillId="0" borderId="10" xfId="0" applyFont="1" applyFill="1" applyBorder="1" applyAlignment="1">
      <alignment vertical="center" wrapText="1"/>
    </xf>
    <xf numFmtId="0" fontId="10" fillId="0" borderId="12"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0" fillId="0" borderId="10" xfId="0" applyBorder="1"/>
    <xf numFmtId="0" fontId="0" fillId="0" borderId="11" xfId="0" applyBorder="1"/>
    <xf numFmtId="0" fontId="0" fillId="0" borderId="44" xfId="0" applyBorder="1"/>
    <xf numFmtId="0" fontId="0" fillId="0" borderId="24" xfId="0" applyBorder="1"/>
    <xf numFmtId="0" fontId="0" fillId="0" borderId="31" xfId="0" applyBorder="1"/>
    <xf numFmtId="0" fontId="0" fillId="0" borderId="26" xfId="0" applyBorder="1"/>
    <xf numFmtId="0" fontId="9" fillId="0" borderId="22"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21" xfId="0" applyFont="1" applyBorder="1"/>
    <xf numFmtId="2" fontId="24" fillId="0" borderId="12" xfId="0" applyNumberFormat="1" applyFont="1" applyBorder="1" applyAlignment="1">
      <alignment horizontal="center" vertical="center"/>
    </xf>
    <xf numFmtId="0" fontId="23" fillId="0" borderId="17" xfId="0" applyFont="1" applyBorder="1"/>
    <xf numFmtId="0" fontId="10" fillId="0" borderId="4" xfId="0" applyFont="1" applyBorder="1" applyAlignment="1">
      <alignment horizontal="center" vertical="center"/>
    </xf>
    <xf numFmtId="4" fontId="7" fillId="2" borderId="46" xfId="0" applyNumberFormat="1" applyFont="1" applyFill="1" applyBorder="1" applyAlignment="1">
      <alignment horizontal="center" vertical="center" wrapText="1"/>
    </xf>
    <xf numFmtId="166" fontId="17" fillId="0" borderId="28" xfId="0" applyNumberFormat="1" applyFont="1" applyBorder="1" applyAlignment="1">
      <alignment horizontal="center" vertical="center"/>
    </xf>
    <xf numFmtId="0" fontId="10" fillId="0" borderId="22" xfId="0" applyFont="1" applyBorder="1" applyAlignment="1">
      <alignment horizontal="center" vertical="center"/>
    </xf>
    <xf numFmtId="0" fontId="17" fillId="2" borderId="42" xfId="0" applyFont="1" applyFill="1" applyBorder="1" applyAlignment="1">
      <alignment horizontal="center" vertical="center"/>
    </xf>
    <xf numFmtId="167" fontId="17" fillId="2" borderId="18" xfId="0" applyNumberFormat="1" applyFont="1" applyFill="1" applyBorder="1" applyAlignment="1">
      <alignment horizontal="center" vertical="center"/>
    </xf>
    <xf numFmtId="0" fontId="17" fillId="5" borderId="18" xfId="3" applyFont="1" applyFill="1" applyBorder="1" applyAlignment="1">
      <alignment vertical="center"/>
    </xf>
    <xf numFmtId="0" fontId="17" fillId="5" borderId="18" xfId="3" applyFont="1" applyFill="1" applyBorder="1" applyAlignment="1">
      <alignment horizontal="right" vertical="center"/>
    </xf>
    <xf numFmtId="2" fontId="17" fillId="5" borderId="46" xfId="3" applyNumberFormat="1" applyFont="1" applyFill="1" applyBorder="1" applyAlignment="1">
      <alignment vertical="center"/>
    </xf>
    <xf numFmtId="0" fontId="24" fillId="0" borderId="22" xfId="0" applyFont="1" applyBorder="1" applyAlignment="1">
      <alignment horizontal="center" vertical="center" wrapText="1"/>
    </xf>
    <xf numFmtId="0" fontId="24" fillId="0" borderId="14" xfId="0" applyFont="1" applyBorder="1" applyAlignment="1">
      <alignment horizontal="center" vertical="center" wrapText="1"/>
    </xf>
    <xf numFmtId="4" fontId="10" fillId="0" borderId="14" xfId="0" applyNumberFormat="1" applyFont="1" applyBorder="1" applyAlignment="1">
      <alignment horizontal="right" vertical="center"/>
    </xf>
    <xf numFmtId="0" fontId="10" fillId="0" borderId="21" xfId="0" quotePrefix="1" applyFont="1" applyBorder="1" applyAlignment="1">
      <alignment horizontal="center" vertical="center"/>
    </xf>
    <xf numFmtId="4" fontId="17" fillId="0" borderId="17" xfId="0" applyNumberFormat="1" applyFont="1" applyBorder="1" applyAlignment="1">
      <alignment horizontal="right" vertical="center"/>
    </xf>
    <xf numFmtId="0" fontId="30" fillId="0" borderId="6"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6" fillId="0" borderId="0" xfId="0" applyNumberFormat="1" applyFont="1" applyBorder="1" applyAlignment="1">
      <alignment horizontal="right" vertical="center"/>
    </xf>
    <xf numFmtId="167" fontId="17" fillId="2" borderId="34" xfId="0" applyNumberFormat="1" applyFont="1" applyFill="1" applyBorder="1" applyAlignment="1">
      <alignment horizontal="center" vertical="center"/>
    </xf>
    <xf numFmtId="0" fontId="10" fillId="2" borderId="33" xfId="3" applyFont="1" applyFill="1" applyBorder="1" applyAlignment="1">
      <alignment horizontal="center" vertical="center"/>
    </xf>
    <xf numFmtId="167" fontId="17" fillId="2" borderId="36" xfId="3" applyNumberFormat="1" applyFont="1" applyFill="1" applyBorder="1" applyAlignment="1">
      <alignment horizontal="center" vertical="center" wrapText="1"/>
    </xf>
    <xf numFmtId="0" fontId="25" fillId="0" borderId="4" xfId="0" applyFont="1" applyBorder="1" applyAlignment="1">
      <alignment wrapText="1"/>
    </xf>
    <xf numFmtId="2" fontId="15" fillId="0" borderId="4" xfId="0" applyNumberFormat="1" applyFont="1" applyBorder="1" applyAlignment="1">
      <alignment horizontal="center" vertical="center"/>
    </xf>
    <xf numFmtId="0" fontId="10" fillId="2" borderId="33" xfId="0" applyFont="1" applyFill="1" applyBorder="1" applyAlignment="1">
      <alignment horizontal="center" vertical="center"/>
    </xf>
    <xf numFmtId="0" fontId="10" fillId="2" borderId="15" xfId="3" applyFont="1" applyFill="1" applyBorder="1" applyAlignment="1">
      <alignment horizontal="center" vertical="center"/>
    </xf>
    <xf numFmtId="167" fontId="17" fillId="2" borderId="59" xfId="3" applyNumberFormat="1" applyFont="1" applyFill="1" applyBorder="1" applyAlignment="1">
      <alignment horizontal="center" vertical="center" wrapText="1"/>
    </xf>
    <xf numFmtId="167" fontId="17" fillId="2" borderId="36" xfId="0" applyNumberFormat="1" applyFont="1" applyFill="1" applyBorder="1" applyAlignment="1">
      <alignment horizontal="center" vertical="center" wrapText="1"/>
    </xf>
    <xf numFmtId="0" fontId="25" fillId="0" borderId="53" xfId="0" applyFont="1" applyBorder="1" applyAlignment="1">
      <alignment wrapText="1"/>
    </xf>
    <xf numFmtId="0" fontId="10" fillId="0" borderId="37" xfId="0" applyFont="1" applyBorder="1" applyAlignment="1">
      <alignment horizontal="center" vertical="center"/>
    </xf>
    <xf numFmtId="167" fontId="21" fillId="0" borderId="54" xfId="0" applyNumberFormat="1" applyFont="1" applyBorder="1" applyAlignment="1">
      <alignment horizontal="center" vertical="center" wrapText="1"/>
    </xf>
    <xf numFmtId="0" fontId="23" fillId="0" borderId="0" xfId="0" applyFont="1" applyBorder="1" applyAlignment="1">
      <alignment horizontal="center"/>
    </xf>
    <xf numFmtId="2" fontId="9" fillId="0" borderId="4" xfId="0" applyNumberFormat="1" applyFont="1" applyBorder="1" applyAlignment="1">
      <alignment horizontal="center" vertical="center"/>
    </xf>
    <xf numFmtId="2" fontId="9" fillId="0" borderId="0" xfId="0" applyNumberFormat="1" applyFont="1" applyBorder="1" applyAlignment="1">
      <alignment horizontal="center" vertical="center"/>
    </xf>
    <xf numFmtId="0" fontId="9" fillId="0" borderId="4" xfId="0" applyFont="1" applyBorder="1" applyAlignment="1">
      <alignment horizontal="left" vertical="center" wrapText="1"/>
    </xf>
    <xf numFmtId="2" fontId="0" fillId="0" borderId="0" xfId="0" applyNumberFormat="1"/>
    <xf numFmtId="0" fontId="9" fillId="0" borderId="21" xfId="0" applyFont="1" applyBorder="1" applyAlignment="1">
      <alignment horizontal="center" vertical="center" wrapText="1"/>
    </xf>
    <xf numFmtId="166" fontId="7" fillId="2" borderId="42" xfId="0" quotePrefix="1" applyNumberFormat="1" applyFont="1" applyFill="1" applyBorder="1" applyAlignment="1">
      <alignment horizontal="center" vertical="center"/>
    </xf>
    <xf numFmtId="0" fontId="10" fillId="0" borderId="22" xfId="0" quotePrefix="1" applyFont="1" applyBorder="1" applyAlignment="1">
      <alignment horizontal="center" vertical="center"/>
    </xf>
    <xf numFmtId="0" fontId="19" fillId="0" borderId="35" xfId="0" applyFont="1" applyBorder="1" applyAlignment="1">
      <alignment vertical="center" wrapText="1"/>
    </xf>
    <xf numFmtId="0" fontId="22" fillId="0" borderId="10" xfId="0" applyFont="1" applyBorder="1" applyAlignment="1">
      <alignment vertical="center" wrapText="1"/>
    </xf>
    <xf numFmtId="0" fontId="22" fillId="0" borderId="45" xfId="0" applyFont="1" applyBorder="1" applyAlignment="1">
      <alignment vertical="center" wrapText="1"/>
    </xf>
    <xf numFmtId="0" fontId="11" fillId="0" borderId="24" xfId="0" applyFont="1" applyFill="1" applyBorder="1" applyAlignment="1">
      <alignment vertical="center"/>
    </xf>
    <xf numFmtId="167" fontId="34" fillId="0" borderId="4" xfId="0" applyNumberFormat="1" applyFont="1" applyBorder="1" applyAlignment="1">
      <alignment horizontal="center" vertical="center"/>
    </xf>
    <xf numFmtId="167" fontId="10" fillId="2" borderId="34" xfId="0" applyNumberFormat="1" applyFont="1" applyFill="1" applyBorder="1" applyAlignment="1">
      <alignment vertical="center"/>
    </xf>
    <xf numFmtId="167" fontId="10" fillId="2" borderId="36"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67" fontId="9" fillId="0" borderId="4" xfId="0" applyNumberFormat="1" applyFont="1" applyBorder="1" applyAlignment="1">
      <alignment horizontal="center" vertical="center"/>
    </xf>
    <xf numFmtId="167" fontId="23" fillId="0" borderId="14" xfId="0" applyNumberFormat="1" applyFont="1" applyBorder="1" applyAlignment="1">
      <alignment horizontal="center" vertical="center" wrapText="1"/>
    </xf>
    <xf numFmtId="171" fontId="9" fillId="0" borderId="4" xfId="0" applyNumberFormat="1" applyFont="1" applyBorder="1" applyAlignment="1">
      <alignment horizontal="center" vertical="center"/>
    </xf>
    <xf numFmtId="172" fontId="9" fillId="0" borderId="4" xfId="0" applyNumberFormat="1" applyFont="1" applyBorder="1" applyAlignment="1">
      <alignment horizontal="center" vertical="center"/>
    </xf>
    <xf numFmtId="2" fontId="15" fillId="0" borderId="53" xfId="0" applyNumberFormat="1" applyFont="1" applyBorder="1" applyAlignment="1">
      <alignment horizontal="center" vertical="center"/>
    </xf>
    <xf numFmtId="4" fontId="17" fillId="6" borderId="53" xfId="0" applyNumberFormat="1" applyFont="1" applyFill="1" applyBorder="1" applyAlignment="1">
      <alignment horizontal="right" vertical="center"/>
    </xf>
    <xf numFmtId="0" fontId="33" fillId="5" borderId="18" xfId="0" applyFont="1" applyFill="1" applyBorder="1" applyAlignment="1">
      <alignment horizontal="left" vertical="center" wrapText="1"/>
    </xf>
    <xf numFmtId="0" fontId="29" fillId="2" borderId="18" xfId="0" applyNumberFormat="1" applyFont="1" applyFill="1" applyBorder="1" applyAlignment="1">
      <alignment horizontal="center" vertical="center" wrapText="1"/>
    </xf>
    <xf numFmtId="2" fontId="10" fillId="0" borderId="0" xfId="0" applyNumberFormat="1" applyFont="1" applyFill="1" applyBorder="1" applyAlignment="1">
      <alignment horizontal="center" vertical="center"/>
    </xf>
    <xf numFmtId="0" fontId="8" fillId="0" borderId="0" xfId="0" applyFont="1" applyFill="1" applyBorder="1" applyAlignment="1">
      <alignment vertical="center"/>
    </xf>
    <xf numFmtId="2" fontId="16"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6" fillId="0" borderId="0" xfId="0" applyFont="1" applyBorder="1" applyAlignment="1">
      <alignment vertical="center"/>
    </xf>
    <xf numFmtId="2" fontId="17" fillId="5" borderId="26" xfId="3" applyNumberFormat="1" applyFont="1" applyFill="1" applyBorder="1" applyAlignment="1">
      <alignment vertical="center"/>
    </xf>
    <xf numFmtId="0" fontId="17" fillId="5" borderId="18" xfId="0" applyFont="1" applyFill="1" applyBorder="1" applyAlignment="1">
      <alignment wrapText="1"/>
    </xf>
    <xf numFmtId="0" fontId="24" fillId="0" borderId="24" xfId="0" applyFont="1" applyBorder="1"/>
    <xf numFmtId="0" fontId="24" fillId="0" borderId="31" xfId="0" applyFont="1" applyBorder="1" applyAlignment="1">
      <alignment horizontal="right" vertical="center"/>
    </xf>
    <xf numFmtId="0" fontId="8" fillId="0" borderId="47" xfId="0" applyFont="1" applyBorder="1" applyAlignment="1">
      <alignment horizontal="center" vertical="center"/>
    </xf>
    <xf numFmtId="0" fontId="0" fillId="0" borderId="14" xfId="0" applyBorder="1" applyAlignment="1">
      <alignment vertical="center"/>
    </xf>
    <xf numFmtId="0" fontId="22" fillId="5" borderId="25" xfId="0" quotePrefix="1" applyFont="1" applyFill="1" applyBorder="1" applyAlignment="1">
      <alignment horizontal="left" vertical="center" wrapText="1"/>
    </xf>
    <xf numFmtId="0" fontId="15" fillId="0" borderId="15" xfId="0" applyFont="1" applyBorder="1" applyAlignment="1">
      <alignment vertical="center"/>
    </xf>
    <xf numFmtId="0" fontId="21" fillId="0" borderId="0" xfId="0" applyFont="1" applyBorder="1" applyAlignment="1">
      <alignment horizontal="justify" vertical="center" wrapText="1"/>
    </xf>
    <xf numFmtId="0" fontId="21" fillId="0" borderId="6" xfId="0" applyFont="1" applyBorder="1" applyAlignment="1">
      <alignment horizontal="center" vertical="center" wrapText="1"/>
    </xf>
    <xf numFmtId="171" fontId="21" fillId="0" borderId="6" xfId="0" applyNumberFormat="1" applyFont="1" applyBorder="1" applyAlignment="1">
      <alignment horizontal="center" vertical="center" wrapText="1"/>
    </xf>
    <xf numFmtId="0" fontId="17" fillId="6" borderId="6" xfId="0" applyFont="1" applyFill="1" applyBorder="1" applyAlignment="1">
      <alignment horizontal="center" vertical="center" wrapText="1"/>
    </xf>
    <xf numFmtId="167" fontId="21" fillId="0" borderId="11" xfId="0" applyNumberFormat="1" applyFont="1" applyBorder="1" applyAlignment="1">
      <alignment horizontal="center" vertical="center" wrapText="1"/>
    </xf>
    <xf numFmtId="0" fontId="57" fillId="0" borderId="10" xfId="0" applyFont="1" applyBorder="1" applyAlignment="1">
      <alignment horizontal="center" vertical="center"/>
    </xf>
    <xf numFmtId="0" fontId="57" fillId="0" borderId="0" xfId="0" applyFont="1" applyBorder="1" applyAlignment="1">
      <alignment horizontal="center" vertical="center"/>
    </xf>
    <xf numFmtId="0" fontId="57" fillId="0" borderId="11" xfId="0" applyFont="1" applyBorder="1" applyAlignment="1">
      <alignment horizontal="center" vertical="center"/>
    </xf>
    <xf numFmtId="0" fontId="56" fillId="0" borderId="10" xfId="0" applyFont="1" applyBorder="1" applyAlignment="1">
      <alignment horizontal="center" vertical="center"/>
    </xf>
    <xf numFmtId="0" fontId="56" fillId="0" borderId="0" xfId="0" applyFont="1" applyBorder="1" applyAlignment="1">
      <alignment horizontal="right" vertical="center"/>
    </xf>
    <xf numFmtId="17" fontId="56" fillId="0" borderId="11" xfId="0" applyNumberFormat="1" applyFont="1" applyBorder="1" applyAlignment="1">
      <alignment horizontal="center" vertical="center"/>
    </xf>
    <xf numFmtId="0" fontId="56" fillId="0" borderId="0" xfId="0" applyFont="1" applyBorder="1" applyAlignment="1">
      <alignment horizontal="center" vertical="center"/>
    </xf>
    <xf numFmtId="0" fontId="58" fillId="0" borderId="36" xfId="0" applyFont="1" applyBorder="1" applyAlignment="1">
      <alignment horizontal="center" vertical="center"/>
    </xf>
    <xf numFmtId="0" fontId="0" fillId="0" borderId="28" xfId="0" applyBorder="1" applyAlignment="1">
      <alignment vertical="center"/>
    </xf>
    <xf numFmtId="0" fontId="0" fillId="0" borderId="6" xfId="0" applyBorder="1" applyAlignment="1">
      <alignment vertical="center"/>
    </xf>
    <xf numFmtId="10" fontId="0" fillId="0" borderId="13" xfId="2" applyNumberFormat="1" applyFont="1" applyBorder="1" applyAlignment="1">
      <alignment vertical="center"/>
    </xf>
    <xf numFmtId="0" fontId="0" fillId="0" borderId="22" xfId="0" applyBorder="1" applyAlignment="1">
      <alignment vertical="center"/>
    </xf>
    <xf numFmtId="0" fontId="0" fillId="0" borderId="4" xfId="0" applyBorder="1" applyAlignment="1">
      <alignment vertical="center"/>
    </xf>
    <xf numFmtId="10" fontId="0" fillId="0" borderId="14" xfId="2" applyNumberFormat="1" applyFont="1" applyBorder="1" applyAlignment="1">
      <alignment vertical="center"/>
    </xf>
    <xf numFmtId="0" fontId="0" fillId="0" borderId="29" xfId="0" applyBorder="1" applyAlignment="1">
      <alignment vertical="center"/>
    </xf>
    <xf numFmtId="0" fontId="0" fillId="0" borderId="7" xfId="0" applyBorder="1" applyAlignment="1">
      <alignment vertical="center"/>
    </xf>
    <xf numFmtId="10" fontId="0" fillId="0" borderId="32" xfId="2" applyNumberFormat="1" applyFont="1" applyBorder="1" applyAlignment="1">
      <alignment vertical="center"/>
    </xf>
    <xf numFmtId="0" fontId="0" fillId="0" borderId="50" xfId="0" applyBorder="1" applyAlignment="1">
      <alignment vertical="center"/>
    </xf>
    <xf numFmtId="0" fontId="22" fillId="0" borderId="52" xfId="0" applyFont="1" applyBorder="1" applyAlignment="1">
      <alignment horizontal="right" vertical="center"/>
    </xf>
    <xf numFmtId="10" fontId="22" fillId="0" borderId="36" xfId="2" applyNumberFormat="1" applyFont="1" applyBorder="1" applyAlignment="1">
      <alignment vertical="center"/>
    </xf>
    <xf numFmtId="10" fontId="9" fillId="0" borderId="14" xfId="2" applyNumberFormat="1" applyFont="1" applyBorder="1" applyAlignment="1">
      <alignment vertical="center"/>
    </xf>
    <xf numFmtId="10" fontId="0" fillId="0" borderId="4" xfId="0" applyNumberFormat="1" applyBorder="1" applyAlignment="1">
      <alignment horizontal="left" vertical="center"/>
    </xf>
    <xf numFmtId="0" fontId="22" fillId="0" borderId="40" xfId="0" applyFont="1" applyBorder="1" applyAlignment="1">
      <alignment horizontal="right" vertical="center"/>
    </xf>
    <xf numFmtId="10" fontId="22" fillId="0" borderId="51" xfId="2" applyNumberFormat="1" applyFont="1" applyBorder="1" applyAlignment="1">
      <alignment vertical="center"/>
    </xf>
    <xf numFmtId="10" fontId="22" fillId="0" borderId="38" xfId="2" applyNumberFormat="1" applyFont="1" applyBorder="1" applyAlignment="1">
      <alignment vertical="center"/>
    </xf>
    <xf numFmtId="0" fontId="58" fillId="0" borderId="69" xfId="0" applyFont="1" applyBorder="1" applyAlignment="1">
      <alignment vertical="center"/>
    </xf>
    <xf numFmtId="0" fontId="58" fillId="0" borderId="39" xfId="0" applyFont="1" applyBorder="1" applyAlignment="1">
      <alignment horizontal="right" vertical="center"/>
    </xf>
    <xf numFmtId="10" fontId="22" fillId="0" borderId="17" xfId="2" applyNumberFormat="1" applyFont="1" applyBorder="1" applyAlignment="1">
      <alignment vertical="center"/>
    </xf>
    <xf numFmtId="0" fontId="0" fillId="0" borderId="0" xfId="0" applyNumberFormat="1" applyFill="1" applyBorder="1" applyAlignment="1">
      <alignment horizontal="left" vertical="center"/>
    </xf>
    <xf numFmtId="0" fontId="21" fillId="0" borderId="4" xfId="0" applyFont="1" applyBorder="1" applyAlignment="1">
      <alignment horizontal="center" vertical="center"/>
    </xf>
    <xf numFmtId="4" fontId="17" fillId="6" borderId="4" xfId="0" applyNumberFormat="1" applyFont="1" applyFill="1" applyBorder="1" applyAlignment="1">
      <alignment horizontal="right" vertical="center"/>
    </xf>
    <xf numFmtId="0" fontId="15" fillId="0" borderId="0" xfId="0" applyFont="1" applyBorder="1" applyAlignment="1">
      <alignment horizontal="center" vertical="center" wrapText="1"/>
    </xf>
    <xf numFmtId="0" fontId="0" fillId="0" borderId="0" xfId="0" applyBorder="1" applyAlignment="1"/>
    <xf numFmtId="0" fontId="23" fillId="0" borderId="0" xfId="0" applyFont="1" applyBorder="1"/>
    <xf numFmtId="10" fontId="0" fillId="0" borderId="0" xfId="0" applyNumberFormat="1" applyAlignment="1">
      <alignment vertical="center"/>
    </xf>
    <xf numFmtId="2" fontId="16" fillId="0" borderId="0" xfId="0" applyNumberFormat="1" applyFont="1" applyFill="1" applyBorder="1" applyAlignment="1">
      <alignment horizontal="right" vertical="center"/>
    </xf>
    <xf numFmtId="2" fontId="61" fillId="0" borderId="0" xfId="0" applyNumberFormat="1" applyFont="1" applyFill="1" applyBorder="1" applyAlignment="1">
      <alignment horizontal="right" vertical="center" wrapText="1"/>
    </xf>
    <xf numFmtId="0" fontId="7" fillId="0" borderId="10" xfId="0" applyFont="1" applyBorder="1" applyAlignment="1">
      <alignment vertical="center"/>
    </xf>
    <xf numFmtId="168" fontId="7" fillId="0" borderId="11" xfId="1" applyNumberFormat="1" applyFont="1" applyBorder="1" applyAlignment="1">
      <alignment horizontal="right" vertical="center"/>
    </xf>
    <xf numFmtId="0" fontId="24" fillId="0" borderId="12" xfId="0" applyFont="1" applyBorder="1" applyAlignment="1">
      <alignment horizontal="right" vertical="center"/>
    </xf>
    <xf numFmtId="10" fontId="20" fillId="0" borderId="11" xfId="0" applyNumberFormat="1" applyFont="1" applyBorder="1" applyAlignment="1">
      <alignment horizontal="right" vertical="center" wrapText="1"/>
    </xf>
    <xf numFmtId="4" fontId="10" fillId="32" borderId="14" xfId="0" applyNumberFormat="1" applyFont="1" applyFill="1" applyBorder="1" applyAlignment="1">
      <alignment horizontal="right" vertical="center"/>
    </xf>
    <xf numFmtId="0" fontId="0" fillId="0" borderId="0" xfId="0" applyAlignment="1">
      <alignment horizontal="center" vertical="center"/>
    </xf>
    <xf numFmtId="0" fontId="30" fillId="0" borderId="2" xfId="0" applyNumberFormat="1" applyFont="1" applyBorder="1" applyAlignment="1">
      <alignment horizontal="center" vertical="center"/>
    </xf>
    <xf numFmtId="0" fontId="10" fillId="0" borderId="6" xfId="0" applyNumberFormat="1" applyFont="1" applyBorder="1" applyAlignment="1">
      <alignment horizontal="center" vertical="center"/>
    </xf>
    <xf numFmtId="167" fontId="22" fillId="0" borderId="1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10" fillId="0" borderId="16" xfId="0" applyFont="1" applyFill="1" applyBorder="1" applyAlignment="1">
      <alignment horizontal="center" vertical="center"/>
    </xf>
    <xf numFmtId="2" fontId="0" fillId="0" borderId="0" xfId="0" applyNumberFormat="1" applyAlignment="1">
      <alignment horizontal="left" vertical="center"/>
    </xf>
    <xf numFmtId="2" fontId="70" fillId="0" borderId="0" xfId="0" applyNumberFormat="1" applyFont="1" applyAlignment="1">
      <alignment horizontal="left" vertical="center"/>
    </xf>
    <xf numFmtId="0" fontId="22" fillId="5" borderId="31" xfId="0" applyFont="1" applyFill="1" applyBorder="1" applyAlignment="1">
      <alignment horizontal="left" vertical="center" wrapText="1"/>
    </xf>
    <xf numFmtId="0" fontId="17" fillId="5" borderId="25" xfId="0" quotePrefix="1" applyFont="1" applyFill="1" applyBorder="1" applyAlignment="1">
      <alignment horizontal="left" vertical="center" wrapText="1"/>
    </xf>
    <xf numFmtId="0" fontId="10" fillId="0" borderId="4" xfId="0" applyFont="1" applyBorder="1" applyAlignment="1">
      <alignment horizontal="center" vertical="center" wrapText="1"/>
    </xf>
    <xf numFmtId="0" fontId="15" fillId="0" borderId="0" xfId="0" applyFont="1" applyBorder="1" applyAlignment="1">
      <alignment horizontal="left" vertical="center" wrapText="1"/>
    </xf>
    <xf numFmtId="0" fontId="22" fillId="5" borderId="20" xfId="0" applyFont="1" applyFill="1" applyBorder="1" applyAlignment="1">
      <alignment horizontal="center" vertical="center"/>
    </xf>
    <xf numFmtId="0" fontId="9" fillId="0" borderId="22" xfId="0" applyFont="1" applyBorder="1" applyAlignment="1">
      <alignment horizontal="center" vertical="center"/>
    </xf>
    <xf numFmtId="175" fontId="9" fillId="0" borderId="4" xfId="0" applyNumberFormat="1" applyFont="1" applyBorder="1" applyAlignment="1">
      <alignment horizontal="center" vertical="center"/>
    </xf>
    <xf numFmtId="0" fontId="8" fillId="0" borderId="4" xfId="0" applyFont="1" applyBorder="1" applyAlignment="1">
      <alignment horizontal="center" vertical="center" wrapText="1"/>
    </xf>
    <xf numFmtId="171" fontId="10" fillId="0" borderId="4" xfId="0" applyNumberFormat="1" applyFont="1" applyBorder="1" applyAlignment="1">
      <alignment horizontal="center" vertical="center" wrapText="1"/>
    </xf>
    <xf numFmtId="0" fontId="9" fillId="0" borderId="53" xfId="0" applyFont="1" applyBorder="1" applyAlignment="1">
      <alignment wrapText="1"/>
    </xf>
    <xf numFmtId="0" fontId="22" fillId="0" borderId="4" xfId="0" applyFont="1" applyBorder="1" applyAlignment="1">
      <alignment horizontal="center" vertical="center" wrapText="1"/>
    </xf>
    <xf numFmtId="2" fontId="0" fillId="0" borderId="0" xfId="0" applyNumberFormat="1" applyFill="1"/>
    <xf numFmtId="2" fontId="71" fillId="0" borderId="0" xfId="0" applyNumberFormat="1" applyFont="1" applyFill="1" applyBorder="1" applyAlignment="1">
      <alignment horizontal="center" vertical="center"/>
    </xf>
    <xf numFmtId="0" fontId="0" fillId="0" borderId="0" xfId="0" applyFill="1"/>
    <xf numFmtId="2" fontId="71" fillId="0" borderId="0" xfId="0" applyNumberFormat="1" applyFont="1" applyFill="1" applyBorder="1" applyAlignment="1">
      <alignment horizontal="left" vertical="center"/>
    </xf>
    <xf numFmtId="2" fontId="72" fillId="0" borderId="0" xfId="0" applyNumberFormat="1" applyFont="1" applyAlignment="1">
      <alignment horizontal="left" vertical="center"/>
    </xf>
    <xf numFmtId="0" fontId="62" fillId="0" borderId="0" xfId="0" applyFont="1" applyBorder="1" applyAlignment="1">
      <alignment horizontal="left" vertical="center"/>
    </xf>
    <xf numFmtId="2" fontId="0" fillId="0" borderId="0" xfId="0" applyNumberFormat="1" applyFill="1" applyBorder="1" applyAlignment="1">
      <alignment horizontal="left" vertical="center"/>
    </xf>
    <xf numFmtId="0" fontId="7" fillId="2" borderId="20" xfId="0" quotePrefix="1" applyFont="1" applyFill="1" applyBorder="1" applyAlignment="1">
      <alignment horizontal="center" vertical="center"/>
    </xf>
    <xf numFmtId="0" fontId="23" fillId="0" borderId="22" xfId="0" applyFont="1" applyBorder="1" applyAlignment="1">
      <alignment horizontal="center" vertical="center"/>
    </xf>
    <xf numFmtId="167" fontId="23" fillId="0" borderId="4" xfId="0" applyNumberFormat="1" applyFont="1" applyBorder="1" applyAlignment="1">
      <alignment horizontal="center" vertical="center" wrapText="1"/>
    </xf>
    <xf numFmtId="167" fontId="21" fillId="0" borderId="0" xfId="0" applyNumberFormat="1" applyFont="1" applyFill="1" applyBorder="1" applyAlignment="1">
      <alignment horizontal="center" vertical="center" wrapText="1"/>
    </xf>
    <xf numFmtId="0" fontId="17" fillId="5" borderId="46" xfId="3" applyFont="1" applyFill="1" applyBorder="1" applyAlignment="1">
      <alignment horizontal="right" vertical="center"/>
    </xf>
    <xf numFmtId="0" fontId="23" fillId="0" borderId="10" xfId="0" applyFont="1" applyBorder="1" applyAlignment="1">
      <alignment horizontal="center" vertical="center"/>
    </xf>
    <xf numFmtId="0" fontId="23" fillId="0" borderId="4" xfId="0" applyFont="1" applyBorder="1" applyAlignment="1">
      <alignment horizontal="left" vertical="center" wrapText="1"/>
    </xf>
    <xf numFmtId="0" fontId="23" fillId="0" borderId="31" xfId="0" applyFont="1" applyBorder="1"/>
    <xf numFmtId="0" fontId="16" fillId="0" borderId="31" xfId="0" applyFont="1" applyBorder="1"/>
    <xf numFmtId="0" fontId="16" fillId="0" borderId="0" xfId="0" applyFont="1" applyBorder="1"/>
    <xf numFmtId="0" fontId="9" fillId="0" borderId="0" xfId="0" applyFont="1" applyBorder="1"/>
    <xf numFmtId="167" fontId="24" fillId="0" borderId="14" xfId="0" applyNumberFormat="1" applyFont="1" applyBorder="1" applyAlignment="1">
      <alignment horizontal="center" vertical="center" wrapText="1"/>
    </xf>
    <xf numFmtId="167" fontId="22" fillId="2" borderId="41" xfId="3" applyNumberFormat="1" applyFont="1" applyFill="1" applyBorder="1" applyAlignment="1">
      <alignment horizontal="center" vertical="center" wrapText="1"/>
    </xf>
    <xf numFmtId="167" fontId="22" fillId="0" borderId="17" xfId="0" applyNumberFormat="1" applyFont="1" applyBorder="1" applyAlignment="1">
      <alignment horizontal="center" vertical="center" wrapText="1"/>
    </xf>
    <xf numFmtId="0" fontId="9" fillId="0" borderId="0" xfId="0" applyFont="1" applyFill="1" applyBorder="1" applyAlignment="1">
      <alignment vertical="center"/>
    </xf>
    <xf numFmtId="2" fontId="59" fillId="0" borderId="0" xfId="0" applyNumberFormat="1" applyFont="1" applyFill="1" applyBorder="1" applyAlignment="1">
      <alignment horizontal="left" vertical="center"/>
    </xf>
    <xf numFmtId="176" fontId="23" fillId="0" borderId="4" xfId="0" applyNumberFormat="1" applyFont="1" applyBorder="1" applyAlignment="1">
      <alignment horizontal="center" vertical="center" wrapText="1"/>
    </xf>
    <xf numFmtId="2" fontId="15" fillId="0" borderId="0" xfId="0" applyNumberFormat="1" applyFont="1" applyAlignment="1">
      <alignment horizontal="center" vertical="center"/>
    </xf>
    <xf numFmtId="0" fontId="15" fillId="0" borderId="0" xfId="1" applyNumberFormat="1" applyFont="1" applyFill="1" applyBorder="1" applyAlignment="1">
      <alignment horizontal="center" vertical="center"/>
    </xf>
    <xf numFmtId="173" fontId="15"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0" fillId="0" borderId="0" xfId="1" applyNumberFormat="1" applyFont="1" applyFill="1" applyBorder="1" applyAlignment="1" applyProtection="1">
      <alignment horizontal="center" vertical="center"/>
      <protection locked="0"/>
    </xf>
    <xf numFmtId="0" fontId="22" fillId="5" borderId="20" xfId="0" applyFont="1" applyFill="1" applyBorder="1" applyAlignment="1">
      <alignment horizontal="justify" vertical="center" wrapText="1"/>
    </xf>
    <xf numFmtId="0" fontId="22" fillId="5" borderId="2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22" fillId="2" borderId="42" xfId="0" applyFont="1" applyFill="1" applyBorder="1" applyAlignment="1">
      <alignment horizontal="center" vertical="center"/>
    </xf>
    <xf numFmtId="0" fontId="31" fillId="30" borderId="22" xfId="5" applyFont="1" applyFill="1" applyBorder="1" applyAlignment="1">
      <alignment horizontal="center" vertical="center" wrapText="1"/>
    </xf>
    <xf numFmtId="167" fontId="9" fillId="0" borderId="6" xfId="0" applyNumberFormat="1" applyFont="1" applyBorder="1" applyAlignment="1">
      <alignment horizontal="center" vertical="center"/>
    </xf>
    <xf numFmtId="2" fontId="60" fillId="0" borderId="0" xfId="0" applyNumberFormat="1" applyFont="1" applyAlignment="1">
      <alignment horizontal="center" vertical="center"/>
    </xf>
    <xf numFmtId="0" fontId="26" fillId="0" borderId="0" xfId="0" applyFont="1" applyAlignment="1">
      <alignment horizontal="center" vertical="center"/>
    </xf>
    <xf numFmtId="0" fontId="61" fillId="0" borderId="0" xfId="0" applyFont="1" applyAlignment="1">
      <alignment horizontal="center" vertical="center"/>
    </xf>
    <xf numFmtId="167" fontId="22" fillId="2" borderId="18" xfId="0" applyNumberFormat="1" applyFont="1" applyFill="1" applyBorder="1" applyAlignment="1">
      <alignment horizontal="center" vertical="center"/>
    </xf>
    <xf numFmtId="0" fontId="24" fillId="0" borderId="0" xfId="0" applyFont="1" applyBorder="1" applyAlignment="1">
      <alignment horizontal="justify" vertical="center" wrapText="1"/>
    </xf>
    <xf numFmtId="0" fontId="24" fillId="0" borderId="6" xfId="0" applyFont="1" applyBorder="1" applyAlignment="1">
      <alignment horizontal="center" vertical="center" wrapText="1"/>
    </xf>
    <xf numFmtId="171" fontId="24" fillId="0" borderId="6" xfId="0" applyNumberFormat="1" applyFont="1" applyBorder="1" applyAlignment="1">
      <alignment horizontal="center" vertical="center" wrapText="1"/>
    </xf>
    <xf numFmtId="0" fontId="22" fillId="6" borderId="6" xfId="0" applyFont="1" applyFill="1" applyBorder="1" applyAlignment="1">
      <alignment horizontal="center" vertical="center" wrapText="1"/>
    </xf>
    <xf numFmtId="167" fontId="24" fillId="0" borderId="11" xfId="0" applyNumberFormat="1" applyFont="1" applyBorder="1" applyAlignment="1">
      <alignment horizontal="center" vertical="center" wrapText="1"/>
    </xf>
    <xf numFmtId="0" fontId="31" fillId="30" borderId="4" xfId="5" applyFont="1" applyFill="1" applyBorder="1" applyAlignment="1">
      <alignment horizontal="left" vertical="center" wrapText="1"/>
    </xf>
    <xf numFmtId="175" fontId="23" fillId="0" borderId="4" xfId="0" applyNumberFormat="1" applyFont="1" applyBorder="1" applyAlignment="1">
      <alignment horizontal="center" vertical="center"/>
    </xf>
    <xf numFmtId="171" fontId="9" fillId="0" borderId="4" xfId="0" applyNumberFormat="1" applyFont="1" applyBorder="1" applyAlignment="1">
      <alignment horizontal="center" vertical="center" wrapText="1"/>
    </xf>
    <xf numFmtId="4" fontId="22" fillId="6" borderId="4" xfId="0" applyNumberFormat="1" applyFont="1" applyFill="1" applyBorder="1" applyAlignment="1">
      <alignment horizontal="right" vertical="center"/>
    </xf>
    <xf numFmtId="171" fontId="22" fillId="0" borderId="4" xfId="0" applyNumberFormat="1" applyFont="1" applyBorder="1" applyAlignment="1">
      <alignment horizontal="center" vertical="center" wrapText="1"/>
    </xf>
    <xf numFmtId="0" fontId="22" fillId="6" borderId="4" xfId="0" applyFont="1" applyFill="1" applyBorder="1" applyAlignment="1">
      <alignment horizontal="center" vertical="center" wrapText="1"/>
    </xf>
    <xf numFmtId="173" fontId="23" fillId="0" borderId="4"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2" fontId="9" fillId="0" borderId="53" xfId="0" applyNumberFormat="1" applyFont="1" applyBorder="1" applyAlignment="1">
      <alignment horizontal="center" vertical="center"/>
    </xf>
    <xf numFmtId="4" fontId="22" fillId="6" borderId="53" xfId="0" applyNumberFormat="1" applyFont="1" applyFill="1" applyBorder="1" applyAlignment="1">
      <alignment horizontal="right" vertical="center"/>
    </xf>
    <xf numFmtId="0" fontId="31" fillId="0" borderId="0" xfId="5" applyFont="1" applyFill="1" applyBorder="1" applyAlignment="1">
      <alignment horizontal="center" vertical="center" wrapText="1"/>
    </xf>
    <xf numFmtId="0" fontId="73" fillId="0" borderId="0" xfId="5" applyFont="1" applyBorder="1" applyAlignment="1">
      <alignment horizontal="center" vertical="center" wrapText="1"/>
    </xf>
    <xf numFmtId="4" fontId="73" fillId="0" borderId="0" xfId="5" applyNumberFormat="1" applyFont="1" applyFill="1" applyBorder="1" applyAlignment="1">
      <alignment horizontal="center" vertical="center" wrapText="1"/>
    </xf>
    <xf numFmtId="4" fontId="73" fillId="0" borderId="0" xfId="5" applyNumberFormat="1" applyFont="1" applyFill="1" applyBorder="1" applyAlignment="1" applyProtection="1">
      <alignment horizontal="center" vertical="center" wrapText="1"/>
      <protection locked="0"/>
    </xf>
    <xf numFmtId="0" fontId="0" fillId="0" borderId="0" xfId="0" applyAlignment="1"/>
    <xf numFmtId="164" fontId="23" fillId="0" borderId="4" xfId="0" applyNumberFormat="1" applyFont="1" applyBorder="1" applyAlignment="1">
      <alignment horizontal="center" vertical="center"/>
    </xf>
    <xf numFmtId="0" fontId="54" fillId="0" borderId="0" xfId="0" applyFont="1" applyAlignment="1">
      <alignment horizontal="center" vertical="center"/>
    </xf>
    <xf numFmtId="0" fontId="75" fillId="0" borderId="0" xfId="0" applyFont="1" applyAlignment="1">
      <alignment horizontal="left" vertical="center"/>
    </xf>
    <xf numFmtId="164" fontId="9" fillId="0" borderId="4" xfId="0" applyNumberFormat="1" applyFont="1" applyBorder="1" applyAlignment="1">
      <alignment horizontal="center" vertical="center"/>
    </xf>
    <xf numFmtId="0" fontId="22" fillId="2" borderId="33" xfId="0" applyFont="1" applyFill="1" applyBorder="1" applyAlignment="1">
      <alignment horizontal="center" vertical="center"/>
    </xf>
    <xf numFmtId="0" fontId="22" fillId="5" borderId="34" xfId="0" applyFont="1" applyFill="1" applyBorder="1" applyAlignment="1">
      <alignment vertical="center" wrapText="1"/>
    </xf>
    <xf numFmtId="0" fontId="21" fillId="0" borderId="0" xfId="0" applyFont="1" applyAlignment="1">
      <alignment horizontal="center" vertical="center"/>
    </xf>
    <xf numFmtId="167" fontId="9" fillId="0" borderId="14" xfId="0" applyNumberFormat="1" applyFont="1" applyBorder="1" applyAlignment="1">
      <alignment horizontal="center" vertical="center"/>
    </xf>
    <xf numFmtId="167" fontId="22" fillId="0" borderId="14" xfId="0" applyNumberFormat="1" applyFont="1" applyBorder="1" applyAlignment="1">
      <alignment horizontal="center" vertical="center"/>
    </xf>
    <xf numFmtId="0" fontId="10" fillId="0" borderId="0" xfId="0" applyFont="1" applyAlignment="1">
      <alignment horizontal="left" vertical="center" wrapText="1" indent="1"/>
    </xf>
    <xf numFmtId="167" fontId="22" fillId="2" borderId="36" xfId="0" applyNumberFormat="1" applyFont="1" applyFill="1" applyBorder="1" applyAlignment="1">
      <alignment horizontal="center" vertical="center" wrapText="1"/>
    </xf>
    <xf numFmtId="0" fontId="22" fillId="5" borderId="40" xfId="0" applyFont="1" applyFill="1" applyBorder="1" applyAlignment="1">
      <alignment horizontal="left" vertical="center" wrapText="1" indent="1"/>
    </xf>
    <xf numFmtId="0" fontId="23" fillId="0" borderId="4" xfId="0" applyFont="1" applyBorder="1" applyAlignment="1">
      <alignment horizontal="center" vertical="center" wrapText="1"/>
    </xf>
    <xf numFmtId="0" fontId="10" fillId="2" borderId="42" xfId="3" applyFont="1" applyFill="1" applyBorder="1" applyAlignment="1">
      <alignment horizontal="center" vertical="center"/>
    </xf>
    <xf numFmtId="167" fontId="17" fillId="2" borderId="46" xfId="3" applyNumberFormat="1" applyFont="1" applyFill="1" applyBorder="1" applyAlignment="1">
      <alignment horizontal="center" vertical="center" wrapText="1"/>
    </xf>
    <xf numFmtId="0" fontId="23" fillId="0" borderId="0" xfId="0" applyFont="1" applyAlignment="1">
      <alignment horizontal="left" vertical="center"/>
    </xf>
    <xf numFmtId="0" fontId="22" fillId="5" borderId="33" xfId="0" applyFont="1" applyFill="1" applyBorder="1" applyAlignment="1">
      <alignment horizontal="center" vertical="center"/>
    </xf>
    <xf numFmtId="0" fontId="22" fillId="5" borderId="34" xfId="0" applyFont="1" applyFill="1" applyBorder="1" applyAlignment="1">
      <alignment horizontal="left" vertical="center" wrapText="1"/>
    </xf>
    <xf numFmtId="167" fontId="17" fillId="5" borderId="34" xfId="0" applyNumberFormat="1" applyFont="1" applyFill="1" applyBorder="1" applyAlignment="1">
      <alignment horizontal="center" vertical="center"/>
    </xf>
    <xf numFmtId="167" fontId="10" fillId="5" borderId="34" xfId="0" applyNumberFormat="1" applyFont="1" applyFill="1" applyBorder="1" applyAlignment="1">
      <alignment vertical="center"/>
    </xf>
    <xf numFmtId="167" fontId="10" fillId="5" borderId="36" xfId="0" applyNumberFormat="1" applyFont="1" applyFill="1" applyBorder="1" applyAlignment="1">
      <alignment horizontal="center" vertical="center"/>
    </xf>
    <xf numFmtId="0" fontId="9" fillId="0" borderId="22" xfId="0" applyFont="1" applyFill="1" applyBorder="1" applyAlignment="1">
      <alignment horizontal="center" vertical="center"/>
    </xf>
    <xf numFmtId="167" fontId="9" fillId="0" borderId="14" xfId="0" applyNumberFormat="1" applyFont="1" applyFill="1" applyBorder="1" applyAlignment="1">
      <alignment horizontal="center" vertical="center"/>
    </xf>
    <xf numFmtId="167" fontId="22" fillId="0" borderId="14" xfId="0" applyNumberFormat="1" applyFont="1" applyFill="1" applyBorder="1" applyAlignment="1">
      <alignment horizontal="center" vertical="center"/>
    </xf>
    <xf numFmtId="167" fontId="24" fillId="0" borderId="14" xfId="0" applyNumberFormat="1" applyFont="1" applyFill="1" applyBorder="1" applyAlignment="1">
      <alignment horizontal="center" vertical="center" wrapText="1"/>
    </xf>
    <xf numFmtId="0" fontId="23" fillId="0" borderId="0" xfId="0" applyFont="1"/>
    <xf numFmtId="0" fontId="0" fillId="0" borderId="0" xfId="0" applyAlignment="1">
      <alignment horizontal="left"/>
    </xf>
    <xf numFmtId="0" fontId="22" fillId="5" borderId="20" xfId="0" quotePrefix="1" applyFont="1" applyFill="1" applyBorder="1" applyAlignment="1">
      <alignment horizontal="left" vertical="center" wrapText="1"/>
    </xf>
    <xf numFmtId="0" fontId="9" fillId="0" borderId="8" xfId="0" applyFont="1" applyBorder="1" applyAlignment="1">
      <alignment horizontal="justify" vertical="center" wrapText="1"/>
    </xf>
    <xf numFmtId="0" fontId="9" fillId="0" borderId="28" xfId="0" applyFont="1" applyBorder="1" applyAlignment="1">
      <alignment horizontal="center" vertical="center" wrapText="1"/>
    </xf>
    <xf numFmtId="0" fontId="25" fillId="0" borderId="0" xfId="0" applyFont="1" applyFill="1" applyBorder="1" applyAlignment="1">
      <alignment wrapText="1"/>
    </xf>
    <xf numFmtId="0" fontId="10" fillId="0" borderId="0" xfId="0" applyFont="1" applyFill="1" applyBorder="1" applyAlignment="1">
      <alignment horizontal="center" vertical="center"/>
    </xf>
    <xf numFmtId="2" fontId="15" fillId="0" borderId="0" xfId="0" applyNumberFormat="1" applyFont="1" applyFill="1" applyBorder="1" applyAlignment="1">
      <alignment horizontal="center" vertical="center"/>
    </xf>
    <xf numFmtId="167" fontId="24"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left" vertical="center" wrapText="1"/>
    </xf>
    <xf numFmtId="0" fontId="15" fillId="0" borderId="0" xfId="0"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9" fillId="0" borderId="0" xfId="0" applyNumberFormat="1" applyFont="1" applyFill="1" applyBorder="1" applyAlignment="1">
      <alignment horizontal="center" vertical="center"/>
    </xf>
    <xf numFmtId="171" fontId="23" fillId="0" borderId="4" xfId="0" applyNumberFormat="1" applyFont="1" applyBorder="1" applyAlignment="1">
      <alignment horizontal="center" vertical="center" wrapText="1"/>
    </xf>
    <xf numFmtId="167" fontId="24" fillId="0" borderId="54" xfId="0" applyNumberFormat="1" applyFont="1" applyBorder="1" applyAlignment="1">
      <alignment horizontal="center" vertical="center" wrapText="1"/>
    </xf>
    <xf numFmtId="167" fontId="22" fillId="2" borderId="36" xfId="3" applyNumberFormat="1" applyFont="1" applyFill="1" applyBorder="1" applyAlignment="1">
      <alignment horizontal="center" vertical="center" wrapText="1"/>
    </xf>
    <xf numFmtId="0" fontId="10" fillId="0" borderId="0" xfId="3" applyFont="1" applyFill="1" applyBorder="1" applyAlignment="1">
      <alignment horizontal="center" vertical="center"/>
    </xf>
    <xf numFmtId="14" fontId="9" fillId="0" borderId="0" xfId="0" applyNumberFormat="1" applyFont="1" applyFill="1" applyBorder="1" applyAlignment="1">
      <alignment horizontal="center" vertical="center"/>
    </xf>
    <xf numFmtId="0" fontId="9" fillId="0" borderId="0" xfId="0" applyFont="1" applyFill="1" applyBorder="1" applyAlignment="1">
      <alignment horizontal="left" vertical="center" wrapText="1"/>
    </xf>
    <xf numFmtId="2"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wrapText="1"/>
    </xf>
    <xf numFmtId="2" fontId="14" fillId="0" borderId="0" xfId="0" applyNumberFormat="1" applyFont="1" applyFill="1" applyBorder="1" applyAlignment="1">
      <alignment horizontal="left" vertical="center"/>
    </xf>
    <xf numFmtId="2" fontId="14" fillId="0" borderId="0" xfId="0" applyNumberFormat="1" applyFont="1" applyAlignment="1">
      <alignment horizontal="left" vertical="center"/>
    </xf>
    <xf numFmtId="2" fontId="75" fillId="0" borderId="0" xfId="0" applyNumberFormat="1" applyFont="1" applyFill="1" applyBorder="1" applyAlignment="1">
      <alignment horizontal="left" vertical="center"/>
    </xf>
    <xf numFmtId="2" fontId="14" fillId="0" borderId="0" xfId="0" applyNumberFormat="1" applyFont="1" applyFill="1" applyBorder="1" applyAlignment="1">
      <alignment horizontal="left" vertical="center" wrapText="1"/>
    </xf>
    <xf numFmtId="2" fontId="20" fillId="0" borderId="0" xfId="0" applyNumberFormat="1" applyFont="1" applyFill="1" applyBorder="1" applyAlignment="1">
      <alignment horizontal="left" vertical="center" wrapText="1"/>
    </xf>
    <xf numFmtId="0" fontId="15" fillId="0" borderId="0" xfId="0" applyFont="1" applyAlignment="1">
      <alignment horizontal="center" vertical="center"/>
    </xf>
    <xf numFmtId="0" fontId="10" fillId="0" borderId="0" xfId="0" applyFont="1" applyAlignment="1">
      <alignment horizontal="center" vertical="center"/>
    </xf>
    <xf numFmtId="2" fontId="15" fillId="0" borderId="0" xfId="0" applyNumberFormat="1" applyFont="1" applyFill="1" applyBorder="1" applyAlignment="1">
      <alignment horizontal="left" vertical="center"/>
    </xf>
    <xf numFmtId="0" fontId="8" fillId="0" borderId="0" xfId="0" applyFont="1" applyBorder="1" applyAlignment="1">
      <alignment vertical="center" wrapText="1"/>
    </xf>
    <xf numFmtId="0" fontId="15" fillId="0" borderId="0" xfId="0" applyFont="1" applyBorder="1" applyAlignment="1">
      <alignment horizontal="center" vertical="center"/>
    </xf>
    <xf numFmtId="0" fontId="71" fillId="0" borderId="0" xfId="0" applyFont="1" applyFill="1" applyBorder="1" applyAlignment="1">
      <alignment horizontal="left" vertical="center"/>
    </xf>
    <xf numFmtId="0" fontId="17" fillId="0" borderId="24" xfId="0" applyFont="1" applyBorder="1" applyAlignment="1">
      <alignment horizontal="left" vertical="center" wrapText="1"/>
    </xf>
    <xf numFmtId="0" fontId="17" fillId="0" borderId="10" xfId="0" applyFont="1" applyBorder="1" applyAlignment="1">
      <alignment horizontal="left" vertical="center" wrapText="1"/>
    </xf>
    <xf numFmtId="0" fontId="17" fillId="0" borderId="45" xfId="0" applyFont="1" applyBorder="1" applyAlignment="1">
      <alignment horizontal="left" vertical="center" wrapText="1"/>
    </xf>
    <xf numFmtId="0" fontId="17" fillId="0" borderId="0" xfId="0" applyFont="1" applyBorder="1" applyAlignment="1">
      <alignment vertical="center" wrapText="1"/>
    </xf>
    <xf numFmtId="10" fontId="10" fillId="0" borderId="11" xfId="0" applyNumberFormat="1" applyFont="1" applyBorder="1" applyAlignment="1">
      <alignment horizontal="right" vertical="center" wrapText="1"/>
    </xf>
    <xf numFmtId="164" fontId="17" fillId="0" borderId="0" xfId="0" applyNumberFormat="1" applyFont="1" applyBorder="1" applyAlignment="1">
      <alignment vertical="center" wrapText="1"/>
    </xf>
    <xf numFmtId="2" fontId="15" fillId="0" borderId="0" xfId="0" applyNumberFormat="1" applyFont="1" applyAlignment="1">
      <alignment horizontal="left" vertical="center"/>
    </xf>
    <xf numFmtId="2" fontId="34" fillId="0" borderId="0" xfId="0" applyNumberFormat="1" applyFont="1" applyFill="1" applyBorder="1" applyAlignment="1">
      <alignment horizontal="center" vertical="center"/>
    </xf>
    <xf numFmtId="1"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4" fontId="71"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0" fillId="0" borderId="0" xfId="0" applyNumberFormat="1" applyFont="1" applyAlignment="1">
      <alignment horizontal="center" vertical="center" wrapText="1"/>
    </xf>
    <xf numFmtId="0" fontId="10" fillId="0" borderId="0" xfId="0" quotePrefix="1" applyFont="1" applyFill="1" applyBorder="1" applyAlignment="1">
      <alignment horizontal="center" vertical="center"/>
    </xf>
    <xf numFmtId="2" fontId="8" fillId="0" borderId="0" xfId="0" applyNumberFormat="1" applyFont="1" applyFill="1" applyBorder="1" applyAlignment="1">
      <alignment horizontal="left" vertical="center" wrapText="1"/>
    </xf>
    <xf numFmtId="0" fontId="23" fillId="0" borderId="0" xfId="0" applyFont="1" applyAlignment="1">
      <alignment horizontal="center" vertical="center"/>
    </xf>
    <xf numFmtId="2" fontId="9" fillId="0" borderId="0" xfId="0" applyNumberFormat="1" applyFont="1" applyAlignment="1">
      <alignment horizontal="center" vertical="center"/>
    </xf>
    <xf numFmtId="2" fontId="9" fillId="0" borderId="0" xfId="0" applyNumberFormat="1" applyFont="1" applyFill="1" applyBorder="1" applyAlignment="1">
      <alignment horizontal="center" vertical="center"/>
    </xf>
    <xf numFmtId="0" fontId="17" fillId="36" borderId="24" xfId="0" quotePrefix="1" applyFont="1" applyFill="1" applyBorder="1" applyAlignment="1">
      <alignment horizontal="center" vertical="center"/>
    </xf>
    <xf numFmtId="0" fontId="7" fillId="36" borderId="20" xfId="0" quotePrefix="1" applyFont="1" applyFill="1" applyBorder="1" applyAlignment="1">
      <alignment horizontal="center" vertical="center"/>
    </xf>
    <xf numFmtId="0" fontId="17" fillId="36" borderId="74" xfId="0" applyFont="1" applyFill="1" applyBorder="1" applyAlignment="1">
      <alignment horizontal="left" vertical="center" wrapText="1"/>
    </xf>
    <xf numFmtId="0" fontId="10" fillId="36" borderId="20" xfId="0" quotePrefix="1" applyFont="1" applyFill="1" applyBorder="1" applyAlignment="1">
      <alignment horizontal="center" vertical="center"/>
    </xf>
    <xf numFmtId="4" fontId="7" fillId="36" borderId="38" xfId="0" applyNumberFormat="1" applyFont="1" applyFill="1" applyBorder="1" applyAlignment="1">
      <alignment horizontal="center" vertical="center" wrapText="1"/>
    </xf>
    <xf numFmtId="0" fontId="7" fillId="33" borderId="6" xfId="0" quotePrefix="1" applyFont="1" applyFill="1" applyBorder="1" applyAlignment="1">
      <alignment horizontal="center" vertical="center"/>
    </xf>
    <xf numFmtId="0" fontId="10" fillId="33" borderId="6" xfId="0" quotePrefix="1" applyFont="1" applyFill="1" applyBorder="1" applyAlignment="1">
      <alignment horizontal="center" vertical="center"/>
    </xf>
    <xf numFmtId="4" fontId="7" fillId="33" borderId="13" xfId="0" applyNumberFormat="1" applyFont="1" applyFill="1" applyBorder="1" applyAlignment="1">
      <alignment horizontal="center" vertical="center" wrapText="1"/>
    </xf>
    <xf numFmtId="173" fontId="15" fillId="0" borderId="0" xfId="1" applyNumberFormat="1" applyFont="1" applyBorder="1" applyAlignment="1">
      <alignment horizontal="center" vertical="center"/>
    </xf>
    <xf numFmtId="0" fontId="15" fillId="0" borderId="0" xfId="0" applyFont="1" applyFill="1" applyAlignment="1">
      <alignment horizontal="center" vertical="center"/>
    </xf>
    <xf numFmtId="0" fontId="15" fillId="0" borderId="0" xfId="1" applyNumberFormat="1" applyFont="1" applyFill="1" applyBorder="1" applyAlignment="1">
      <alignment horizontal="left" vertical="center"/>
    </xf>
    <xf numFmtId="0" fontId="7" fillId="5" borderId="18" xfId="0" quotePrefix="1" applyFont="1" applyFill="1" applyBorder="1" applyAlignment="1">
      <alignment horizontal="center" vertical="center"/>
    </xf>
    <xf numFmtId="4" fontId="15" fillId="0" borderId="0" xfId="0" applyNumberFormat="1" applyFont="1" applyBorder="1" applyAlignment="1">
      <alignment horizontal="center" vertical="center"/>
    </xf>
    <xf numFmtId="2" fontId="0" fillId="0" borderId="0" xfId="0" applyNumberFormat="1" applyFont="1" applyBorder="1" applyAlignment="1">
      <alignment horizontal="left" vertical="center"/>
    </xf>
    <xf numFmtId="2" fontId="15" fillId="0" borderId="0" xfId="0" applyNumberFormat="1" applyFont="1" applyBorder="1" applyAlignment="1">
      <alignment horizontal="left" vertical="center"/>
    </xf>
    <xf numFmtId="167" fontId="15" fillId="0" borderId="0" xfId="0" applyNumberFormat="1" applyFont="1" applyAlignment="1">
      <alignment horizontal="center" vertical="center"/>
    </xf>
    <xf numFmtId="0" fontId="17" fillId="0" borderId="18" xfId="0" applyFont="1" applyBorder="1" applyAlignment="1">
      <alignment horizontal="center" vertical="center" wrapText="1"/>
    </xf>
    <xf numFmtId="0" fontId="17" fillId="0" borderId="42" xfId="0" applyFont="1" applyBorder="1" applyAlignment="1">
      <alignment horizontal="center" vertical="center"/>
    </xf>
    <xf numFmtId="0" fontId="17" fillId="0" borderId="25" xfId="0" applyFont="1" applyBorder="1" applyAlignment="1">
      <alignment horizontal="center" vertical="center" wrapText="1"/>
    </xf>
    <xf numFmtId="2" fontId="17" fillId="0" borderId="18" xfId="0" applyNumberFormat="1" applyFont="1" applyBorder="1" applyAlignment="1">
      <alignment horizontal="center" vertical="center" wrapText="1"/>
    </xf>
    <xf numFmtId="4" fontId="17" fillId="0" borderId="18" xfId="0" applyNumberFormat="1" applyFont="1" applyBorder="1" applyAlignment="1">
      <alignment horizontal="center" vertical="center" wrapText="1"/>
    </xf>
    <xf numFmtId="4" fontId="17" fillId="0" borderId="46" xfId="0" applyNumberFormat="1" applyFont="1" applyBorder="1" applyAlignment="1">
      <alignment horizontal="center" vertical="center" wrapText="1"/>
    </xf>
    <xf numFmtId="166" fontId="17" fillId="2" borderId="42" xfId="0" quotePrefix="1" applyNumberFormat="1" applyFont="1" applyFill="1" applyBorder="1" applyAlignment="1">
      <alignment horizontal="center" vertical="center"/>
    </xf>
    <xf numFmtId="0" fontId="17" fillId="2" borderId="18" xfId="0" quotePrefix="1" applyFont="1" applyFill="1" applyBorder="1" applyAlignment="1">
      <alignment horizontal="center" vertical="center"/>
    </xf>
    <xf numFmtId="0" fontId="17" fillId="2" borderId="18" xfId="0" applyFont="1" applyFill="1" applyBorder="1" applyAlignment="1">
      <alignment horizontal="left" vertical="center" wrapText="1"/>
    </xf>
    <xf numFmtId="0" fontId="17" fillId="2" borderId="18" xfId="0" applyFont="1" applyFill="1" applyBorder="1" applyAlignment="1">
      <alignment horizontal="center" vertical="center" wrapText="1"/>
    </xf>
    <xf numFmtId="2" fontId="17" fillId="2" borderId="18" xfId="0" applyNumberFormat="1" applyFont="1" applyFill="1" applyBorder="1" applyAlignment="1">
      <alignment horizontal="center" vertical="center" wrapText="1"/>
    </xf>
    <xf numFmtId="4" fontId="17" fillId="2" borderId="18" xfId="0" applyNumberFormat="1" applyFont="1" applyFill="1" applyBorder="1" applyAlignment="1">
      <alignment horizontal="center" vertical="center" wrapText="1"/>
    </xf>
    <xf numFmtId="4" fontId="17" fillId="2" borderId="46" xfId="0" applyNumberFormat="1" applyFont="1" applyFill="1" applyBorder="1" applyAlignment="1">
      <alignment horizontal="center" vertical="center" wrapText="1"/>
    </xf>
    <xf numFmtId="4" fontId="17" fillId="0" borderId="38" xfId="0" applyNumberFormat="1" applyFont="1" applyBorder="1" applyAlignment="1">
      <alignment horizontal="right" vertical="center"/>
    </xf>
    <xf numFmtId="0" fontId="23" fillId="0" borderId="0" xfId="0" applyFont="1" applyFill="1" applyBorder="1"/>
    <xf numFmtId="0" fontId="24" fillId="0" borderId="0" xfId="0" applyFont="1" applyFill="1" applyBorder="1" applyAlignment="1">
      <alignment horizontal="right" vertical="center"/>
    </xf>
    <xf numFmtId="2" fontId="24" fillId="0" borderId="0" xfId="0" applyNumberFormat="1" applyFont="1" applyFill="1" applyBorder="1" applyAlignment="1">
      <alignment horizontal="center" vertical="center"/>
    </xf>
    <xf numFmtId="0" fontId="23" fillId="0" borderId="0" xfId="0" applyFont="1" applyFill="1" applyBorder="1" applyAlignment="1">
      <alignment horizontal="center"/>
    </xf>
    <xf numFmtId="14" fontId="9" fillId="0" borderId="26" xfId="0" applyNumberFormat="1" applyFont="1" applyBorder="1" applyAlignment="1">
      <alignment horizontal="center" vertical="center"/>
    </xf>
    <xf numFmtId="167" fontId="17" fillId="5" borderId="18" xfId="0" applyNumberFormat="1" applyFont="1" applyFill="1" applyBorder="1" applyAlignment="1">
      <alignment horizontal="center" vertical="center"/>
    </xf>
    <xf numFmtId="167" fontId="21" fillId="0" borderId="14" xfId="0" applyNumberFormat="1" applyFont="1" applyFill="1" applyBorder="1" applyAlignment="1">
      <alignment horizontal="center" vertical="center" wrapText="1"/>
    </xf>
    <xf numFmtId="167" fontId="23" fillId="0" borderId="14" xfId="0" applyNumberFormat="1" applyFont="1" applyFill="1" applyBorder="1" applyAlignment="1">
      <alignment horizontal="center" vertical="center" wrapText="1"/>
    </xf>
    <xf numFmtId="0" fontId="10" fillId="0" borderId="16" xfId="3" applyFont="1" applyFill="1" applyBorder="1" applyAlignment="1">
      <alignment horizontal="center" vertical="center"/>
    </xf>
    <xf numFmtId="0" fontId="0" fillId="0" borderId="0" xfId="0" applyFill="1" applyAlignment="1">
      <alignment horizontal="center" vertical="center" wrapText="1"/>
    </xf>
    <xf numFmtId="0" fontId="71" fillId="0" borderId="0" xfId="0" applyFont="1" applyAlignment="1">
      <alignment horizontal="left" vertical="center"/>
    </xf>
    <xf numFmtId="0" fontId="78" fillId="0" borderId="0" xfId="0" applyFont="1" applyAlignment="1">
      <alignment horizontal="left" vertical="center"/>
    </xf>
    <xf numFmtId="0" fontId="15"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7" fillId="0" borderId="0" xfId="0" applyNumberFormat="1" applyFont="1" applyBorder="1" applyAlignment="1">
      <alignment horizontal="right" vertical="center"/>
    </xf>
    <xf numFmtId="168" fontId="17" fillId="0" borderId="11" xfId="0" applyNumberFormat="1" applyFont="1" applyBorder="1" applyAlignment="1">
      <alignment horizontal="right" vertical="center"/>
    </xf>
    <xf numFmtId="0" fontId="17" fillId="0" borderId="24" xfId="0" applyFont="1" applyBorder="1" applyAlignment="1">
      <alignment horizontal="left" vertical="center"/>
    </xf>
    <xf numFmtId="0" fontId="17" fillId="0" borderId="31" xfId="0" applyFont="1" applyBorder="1" applyAlignment="1">
      <alignment horizontal="center" vertical="center" wrapText="1"/>
    </xf>
    <xf numFmtId="0" fontId="17" fillId="0" borderId="26" xfId="0" applyFont="1" applyBorder="1" applyAlignment="1">
      <alignment vertical="center" wrapText="1"/>
    </xf>
    <xf numFmtId="0" fontId="7" fillId="0" borderId="28" xfId="0" applyFont="1" applyBorder="1" applyAlignment="1">
      <alignment horizontal="center" vertical="center" wrapText="1"/>
    </xf>
    <xf numFmtId="4" fontId="7" fillId="0" borderId="6" xfId="1" applyNumberFormat="1" applyFont="1" applyBorder="1" applyAlignment="1">
      <alignment horizontal="center" vertical="center" wrapText="1"/>
    </xf>
    <xf numFmtId="4" fontId="7" fillId="0" borderId="13" xfId="1" applyNumberFormat="1" applyFont="1" applyBorder="1" applyAlignment="1">
      <alignment horizontal="center" vertical="center" wrapText="1"/>
    </xf>
    <xf numFmtId="2" fontId="71" fillId="0" borderId="0" xfId="0" applyNumberFormat="1" applyFont="1" applyFill="1" applyBorder="1" applyAlignment="1">
      <alignment horizontal="left" vertical="center" wrapText="1"/>
    </xf>
    <xf numFmtId="2" fontId="66"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3" fillId="0" borderId="0" xfId="0" applyNumberFormat="1" applyFont="1" applyFill="1" applyBorder="1" applyAlignment="1">
      <alignment horizontal="left" vertical="center"/>
    </xf>
    <xf numFmtId="0" fontId="0" fillId="0" borderId="71" xfId="0" applyBorder="1" applyAlignment="1">
      <alignment horizontal="center" wrapText="1"/>
    </xf>
    <xf numFmtId="0" fontId="0" fillId="0" borderId="72" xfId="0" applyBorder="1" applyAlignment="1">
      <alignment horizontal="center" wrapText="1"/>
    </xf>
    <xf numFmtId="0" fontId="0" fillId="0" borderId="73" xfId="0" applyBorder="1" applyAlignment="1">
      <alignment horizontal="center" wrapText="1"/>
    </xf>
    <xf numFmtId="0" fontId="0" fillId="0" borderId="10" xfId="0" applyBorder="1" applyAlignment="1">
      <alignment horizontal="center"/>
    </xf>
    <xf numFmtId="0" fontId="0" fillId="0" borderId="45" xfId="0" applyBorder="1" applyAlignment="1">
      <alignment horizontal="center"/>
    </xf>
    <xf numFmtId="0" fontId="16" fillId="0" borderId="0" xfId="0" applyFont="1" applyFill="1" applyBorder="1" applyAlignment="1"/>
    <xf numFmtId="0" fontId="66" fillId="39" borderId="46" xfId="0" applyFont="1" applyFill="1" applyBorder="1" applyAlignment="1">
      <alignment horizontal="center" vertical="center"/>
    </xf>
    <xf numFmtId="0" fontId="0" fillId="0" borderId="28" xfId="0" applyBorder="1" applyAlignment="1">
      <alignment horizontal="left" vertical="center" wrapText="1"/>
    </xf>
    <xf numFmtId="2" fontId="71" fillId="0" borderId="77" xfId="0" applyNumberFormat="1" applyFont="1" applyFill="1" applyBorder="1" applyAlignment="1">
      <alignment horizontal="center" vertical="center"/>
    </xf>
    <xf numFmtId="0" fontId="66" fillId="0" borderId="81" xfId="0" applyFont="1" applyBorder="1" applyAlignment="1">
      <alignment horizontal="center" vertical="center"/>
    </xf>
    <xf numFmtId="0" fontId="0" fillId="0" borderId="22" xfId="0" applyBorder="1" applyAlignment="1">
      <alignment horizontal="left" vertical="center" wrapText="1"/>
    </xf>
    <xf numFmtId="2" fontId="71" fillId="0" borderId="5" xfId="0" applyNumberFormat="1" applyFont="1" applyFill="1" applyBorder="1" applyAlignment="1">
      <alignment horizontal="center" vertical="center"/>
    </xf>
    <xf numFmtId="0" fontId="66" fillId="0" borderId="82" xfId="0" applyFont="1" applyBorder="1" applyAlignment="1">
      <alignment horizontal="center" vertical="center"/>
    </xf>
    <xf numFmtId="0" fontId="0" fillId="0" borderId="21" xfId="0" applyBorder="1" applyAlignment="1">
      <alignment horizontal="left" vertical="center" wrapText="1"/>
    </xf>
    <xf numFmtId="2" fontId="71" fillId="0" borderId="37" xfId="0" applyNumberFormat="1" applyFont="1" applyFill="1" applyBorder="1" applyAlignment="1">
      <alignment horizontal="center" vertical="center"/>
    </xf>
    <xf numFmtId="0" fontId="66" fillId="0" borderId="83" xfId="0" applyFont="1" applyBorder="1" applyAlignment="1">
      <alignment horizontal="center" vertical="center"/>
    </xf>
    <xf numFmtId="0" fontId="66" fillId="39" borderId="70" xfId="0" applyFont="1" applyFill="1" applyBorder="1" applyAlignment="1">
      <alignment horizontal="center" vertical="center"/>
    </xf>
    <xf numFmtId="0" fontId="0" fillId="0" borderId="22" xfId="0" applyBorder="1" applyAlignment="1">
      <alignment horizontal="left" vertical="center"/>
    </xf>
    <xf numFmtId="0" fontId="66" fillId="0" borderId="84" xfId="0" applyFont="1" applyBorder="1" applyAlignment="1">
      <alignment horizontal="center" vertical="center"/>
    </xf>
    <xf numFmtId="0" fontId="0" fillId="0" borderId="21" xfId="0" applyBorder="1" applyAlignment="1">
      <alignment horizontal="left" vertical="center"/>
    </xf>
    <xf numFmtId="0" fontId="0" fillId="0" borderId="47" xfId="0" applyBorder="1" applyAlignment="1">
      <alignment horizontal="left" vertical="center"/>
    </xf>
    <xf numFmtId="0" fontId="0" fillId="0" borderId="23" xfId="0" applyBorder="1" applyAlignment="1">
      <alignment horizontal="left" vertical="center"/>
    </xf>
    <xf numFmtId="0" fontId="0" fillId="0" borderId="69" xfId="0" applyBorder="1" applyAlignment="1">
      <alignment horizontal="left" vertical="center"/>
    </xf>
    <xf numFmtId="0" fontId="66" fillId="39" borderId="38" xfId="0" applyFont="1" applyFill="1" applyBorder="1" applyAlignment="1">
      <alignment horizontal="center" vertical="center"/>
    </xf>
    <xf numFmtId="2" fontId="71" fillId="0" borderId="38" xfId="0" applyNumberFormat="1" applyFont="1" applyFill="1" applyBorder="1" applyAlignment="1">
      <alignment horizontal="center" vertical="center"/>
    </xf>
    <xf numFmtId="2" fontId="71" fillId="0" borderId="14" xfId="0" applyNumberFormat="1" applyFont="1" applyFill="1" applyBorder="1" applyAlignment="1">
      <alignment horizontal="center" vertical="center"/>
    </xf>
    <xf numFmtId="2" fontId="71" fillId="0" borderId="17" xfId="0" applyNumberFormat="1" applyFont="1" applyFill="1" applyBorder="1" applyAlignment="1">
      <alignment horizontal="center" vertical="center"/>
    </xf>
    <xf numFmtId="0" fontId="71" fillId="0" borderId="32" xfId="0" applyFont="1" applyFill="1" applyBorder="1" applyAlignment="1">
      <alignment horizontal="center" vertical="center"/>
    </xf>
    <xf numFmtId="0" fontId="71" fillId="0" borderId="17" xfId="0" applyFont="1" applyFill="1" applyBorder="1" applyAlignment="1">
      <alignment horizontal="center" vertical="center"/>
    </xf>
    <xf numFmtId="0" fontId="0" fillId="0" borderId="47" xfId="0" applyBorder="1" applyAlignment="1">
      <alignment horizontal="left" vertical="center" wrapText="1"/>
    </xf>
    <xf numFmtId="0" fontId="66" fillId="39" borderId="71" xfId="0" applyFont="1" applyFill="1" applyBorder="1" applyAlignment="1">
      <alignment horizontal="center" vertical="center"/>
    </xf>
    <xf numFmtId="175" fontId="71" fillId="0" borderId="14" xfId="0" applyNumberFormat="1" applyFont="1" applyFill="1" applyBorder="1" applyAlignment="1">
      <alignment horizontal="center" vertical="center"/>
    </xf>
    <xf numFmtId="0" fontId="28" fillId="0" borderId="0" xfId="0" applyFont="1"/>
    <xf numFmtId="0" fontId="76" fillId="5" borderId="20" xfId="0" applyFont="1" applyFill="1" applyBorder="1" applyAlignment="1">
      <alignment horizontal="left" vertical="center" wrapText="1"/>
    </xf>
    <xf numFmtId="0" fontId="85" fillId="0" borderId="0" xfId="0" applyFont="1" applyBorder="1"/>
    <xf numFmtId="2" fontId="62" fillId="0" borderId="0" xfId="0" applyNumberFormat="1" applyFont="1" applyFill="1" applyBorder="1" applyAlignment="1">
      <alignment horizontal="right" vertical="center"/>
    </xf>
    <xf numFmtId="2" fontId="69" fillId="0" borderId="0" xfId="0" applyNumberFormat="1" applyFont="1" applyFill="1" applyBorder="1" applyAlignment="1">
      <alignment horizontal="left" vertical="center"/>
    </xf>
    <xf numFmtId="14" fontId="71" fillId="0" borderId="26" xfId="0" applyNumberFormat="1" applyFont="1" applyBorder="1" applyAlignment="1">
      <alignment horizontal="center" vertical="center"/>
    </xf>
    <xf numFmtId="0" fontId="0" fillId="0" borderId="0" xfId="0" applyBorder="1" applyAlignment="1">
      <alignment horizontal="left" vertical="center"/>
    </xf>
    <xf numFmtId="0" fontId="15" fillId="0" borderId="0" xfId="0" applyFont="1" applyBorder="1" applyAlignment="1">
      <alignment horizontal="center" vertical="center"/>
    </xf>
    <xf numFmtId="0" fontId="10" fillId="0" borderId="16" xfId="0" quotePrefix="1" applyFont="1" applyBorder="1" applyAlignment="1">
      <alignment horizontal="center" vertical="center"/>
    </xf>
    <xf numFmtId="166" fontId="7" fillId="2" borderId="19" xfId="0" quotePrefix="1" applyNumberFormat="1" applyFont="1" applyFill="1" applyBorder="1" applyAlignment="1">
      <alignment horizontal="center" vertical="center"/>
    </xf>
    <xf numFmtId="0" fontId="33" fillId="5" borderId="20" xfId="0" applyFont="1" applyFill="1" applyBorder="1" applyAlignment="1">
      <alignment horizontal="left" vertical="center" wrapText="1"/>
    </xf>
    <xf numFmtId="0" fontId="29" fillId="2" borderId="20" xfId="0" applyNumberFormat="1" applyFont="1" applyFill="1" applyBorder="1" applyAlignment="1">
      <alignment horizontal="center" vertical="center" wrapText="1"/>
    </xf>
    <xf numFmtId="4" fontId="7" fillId="2" borderId="38" xfId="0" applyNumberFormat="1" applyFont="1" applyFill="1" applyBorder="1" applyAlignment="1">
      <alignment horizontal="center" vertical="center" wrapText="1"/>
    </xf>
    <xf numFmtId="0" fontId="84" fillId="0" borderId="0" xfId="0" applyFont="1" applyBorder="1" applyAlignment="1">
      <alignment horizontal="left" vertical="center" wrapText="1"/>
    </xf>
    <xf numFmtId="2" fontId="9" fillId="0" borderId="0" xfId="0" applyNumberFormat="1" applyFont="1" applyFill="1" applyBorder="1" applyAlignment="1">
      <alignment horizontal="left" vertical="center"/>
    </xf>
    <xf numFmtId="0" fontId="23" fillId="0" borderId="0" xfId="0" applyFont="1" applyBorder="1" applyAlignment="1">
      <alignment horizontal="left" vertical="center"/>
    </xf>
    <xf numFmtId="166" fontId="10" fillId="0" borderId="21" xfId="0" quotePrefix="1" applyNumberFormat="1" applyFont="1" applyFill="1" applyBorder="1" applyAlignment="1">
      <alignment horizontal="center" vertical="center"/>
    </xf>
    <xf numFmtId="0" fontId="68" fillId="0" borderId="0" xfId="0" applyFont="1" applyBorder="1" applyAlignment="1">
      <alignment horizontal="justify" vertical="center" wrapText="1"/>
    </xf>
    <xf numFmtId="2" fontId="62" fillId="0" borderId="0" xfId="0" applyNumberFormat="1" applyFont="1" applyFill="1" applyBorder="1" applyAlignment="1">
      <alignment horizontal="left" vertical="center"/>
    </xf>
    <xf numFmtId="0" fontId="68" fillId="5" borderId="20" xfId="0" applyFont="1" applyFill="1" applyBorder="1" applyAlignment="1">
      <alignment horizontal="center" vertical="center"/>
    </xf>
    <xf numFmtId="167" fontId="18" fillId="2" borderId="31" xfId="0" applyNumberFormat="1" applyFont="1" applyFill="1" applyBorder="1" applyAlignment="1">
      <alignment vertical="center"/>
    </xf>
    <xf numFmtId="167" fontId="18" fillId="2" borderId="18" xfId="0" applyNumberFormat="1" applyFont="1" applyFill="1" applyBorder="1" applyAlignment="1">
      <alignment vertical="center"/>
    </xf>
    <xf numFmtId="167" fontId="18" fillId="2" borderId="46" xfId="0" applyNumberFormat="1" applyFont="1" applyFill="1" applyBorder="1" applyAlignment="1">
      <alignment horizontal="center" vertical="center"/>
    </xf>
    <xf numFmtId="0" fontId="68" fillId="4" borderId="28" xfId="0" applyFont="1" applyFill="1" applyBorder="1" applyAlignment="1">
      <alignment vertical="center"/>
    </xf>
    <xf numFmtId="0" fontId="68" fillId="0" borderId="6" xfId="0" applyFont="1" applyBorder="1" applyAlignment="1">
      <alignment horizontal="center" vertical="center" wrapText="1"/>
    </xf>
    <xf numFmtId="171" fontId="68" fillId="0" borderId="6" xfId="0" applyNumberFormat="1" applyFont="1" applyBorder="1" applyAlignment="1">
      <alignment horizontal="center" vertical="center" wrapText="1"/>
    </xf>
    <xf numFmtId="167" fontId="68" fillId="0" borderId="6" xfId="0" applyNumberFormat="1" applyFont="1" applyBorder="1" applyAlignment="1">
      <alignment horizontal="center" vertical="center" wrapText="1"/>
    </xf>
    <xf numFmtId="167" fontId="68" fillId="0" borderId="13" xfId="0" applyNumberFormat="1" applyFont="1" applyBorder="1" applyAlignment="1">
      <alignment horizontal="center" vertical="center" wrapText="1"/>
    </xf>
    <xf numFmtId="0" fontId="60" fillId="0" borderId="0" xfId="0" applyFont="1" applyBorder="1" applyAlignment="1">
      <alignment horizontal="center"/>
    </xf>
    <xf numFmtId="0" fontId="0" fillId="0" borderId="28" xfId="0" applyBorder="1" applyAlignment="1">
      <alignment horizontal="left" vertical="center"/>
    </xf>
    <xf numFmtId="0" fontId="71" fillId="0" borderId="59" xfId="0" applyFont="1" applyFill="1" applyBorder="1" applyAlignment="1">
      <alignment horizontal="center" vertical="center"/>
    </xf>
    <xf numFmtId="2" fontId="0" fillId="0" borderId="0" xfId="0" applyNumberFormat="1" applyFont="1" applyFill="1" applyBorder="1"/>
    <xf numFmtId="2" fontId="10" fillId="0" borderId="0" xfId="0" applyNumberFormat="1" applyFont="1" applyAlignment="1">
      <alignment horizontal="left" vertical="center"/>
    </xf>
    <xf numFmtId="166" fontId="17" fillId="2" borderId="24" xfId="0" quotePrefix="1" applyNumberFormat="1" applyFont="1" applyFill="1" applyBorder="1" applyAlignment="1">
      <alignment horizontal="center" vertical="center"/>
    </xf>
    <xf numFmtId="0" fontId="8" fillId="0" borderId="6" xfId="0" quotePrefix="1" applyFont="1" applyFill="1" applyBorder="1" applyAlignment="1">
      <alignment horizontal="center" vertical="center" wrapText="1"/>
    </xf>
    <xf numFmtId="0" fontId="64" fillId="2" borderId="20" xfId="0" quotePrefix="1" applyFont="1" applyFill="1" applyBorder="1" applyAlignment="1">
      <alignment horizontal="center" vertical="center"/>
    </xf>
    <xf numFmtId="0" fontId="10" fillId="0" borderId="10" xfId="0" quotePrefix="1" applyFont="1" applyBorder="1" applyAlignment="1">
      <alignment horizontal="center" vertical="center"/>
    </xf>
    <xf numFmtId="2" fontId="24" fillId="0" borderId="0" xfId="0" applyNumberFormat="1" applyFont="1" applyBorder="1" applyAlignment="1">
      <alignment horizontal="center" vertical="center"/>
    </xf>
    <xf numFmtId="0" fontId="23" fillId="0" borderId="10" xfId="0" applyFont="1" applyBorder="1"/>
    <xf numFmtId="2" fontId="9" fillId="0" borderId="0" xfId="0" applyNumberFormat="1" applyFont="1" applyAlignment="1">
      <alignment horizontal="left" vertical="center"/>
    </xf>
    <xf numFmtId="2" fontId="23" fillId="0" borderId="0" xfId="0" applyNumberFormat="1" applyFont="1" applyFill="1" applyBorder="1"/>
    <xf numFmtId="2" fontId="28" fillId="0" borderId="0" xfId="0" applyNumberFormat="1" applyFont="1" applyAlignment="1">
      <alignment horizontal="left" vertical="center"/>
    </xf>
    <xf numFmtId="4" fontId="17" fillId="0" borderId="0" xfId="0" applyNumberFormat="1" applyFont="1" applyFill="1" applyBorder="1" applyAlignment="1">
      <alignment horizontal="right" vertical="center"/>
    </xf>
    <xf numFmtId="0" fontId="9" fillId="0" borderId="4" xfId="0" applyFont="1" applyBorder="1" applyAlignment="1">
      <alignment horizontal="left" vertical="center"/>
    </xf>
    <xf numFmtId="0" fontId="9" fillId="0" borderId="50" xfId="0" applyFont="1" applyFill="1" applyBorder="1" applyAlignment="1">
      <alignment vertical="center" wrapText="1"/>
    </xf>
    <xf numFmtId="0" fontId="9" fillId="0" borderId="40" xfId="0" applyFont="1" applyFill="1" applyBorder="1" applyAlignment="1">
      <alignment vertical="center" wrapText="1"/>
    </xf>
    <xf numFmtId="0" fontId="9" fillId="0" borderId="51" xfId="0" applyFont="1" applyFill="1" applyBorder="1" applyAlignment="1">
      <alignment vertical="center" wrapText="1"/>
    </xf>
    <xf numFmtId="167" fontId="17" fillId="2" borderId="20" xfId="0" applyNumberFormat="1" applyFont="1" applyFill="1" applyBorder="1" applyAlignment="1">
      <alignment horizontal="center" vertical="center"/>
    </xf>
    <xf numFmtId="0" fontId="17" fillId="5" borderId="20" xfId="3" applyFont="1" applyFill="1" applyBorder="1" applyAlignment="1">
      <alignment vertical="center"/>
    </xf>
    <xf numFmtId="0" fontId="17" fillId="5" borderId="20" xfId="3" applyFont="1" applyFill="1" applyBorder="1" applyAlignment="1">
      <alignment horizontal="right" vertical="center"/>
    </xf>
    <xf numFmtId="2" fontId="17" fillId="5" borderId="38" xfId="3" applyNumberFormat="1" applyFont="1" applyFill="1" applyBorder="1" applyAlignment="1">
      <alignment vertical="center"/>
    </xf>
    <xf numFmtId="0" fontId="23" fillId="0" borderId="4" xfId="0" applyFont="1" applyBorder="1"/>
    <xf numFmtId="0" fontId="15" fillId="0" borderId="0" xfId="0" applyFont="1" applyBorder="1" applyAlignment="1">
      <alignment horizontal="center" vertical="center"/>
    </xf>
    <xf numFmtId="4" fontId="10" fillId="0" borderId="0" xfId="0" applyNumberFormat="1" applyFont="1" applyFill="1" applyBorder="1" applyAlignment="1">
      <alignment vertical="center"/>
    </xf>
    <xf numFmtId="0" fontId="34" fillId="0" borderId="0" xfId="0" applyFont="1" applyAlignment="1">
      <alignment horizontal="center" vertical="center"/>
    </xf>
    <xf numFmtId="2" fontId="15" fillId="0" borderId="0" xfId="0" applyNumberFormat="1" applyFont="1" applyFill="1" applyBorder="1" applyAlignment="1">
      <alignment horizontal="left" vertical="center" wrapText="1"/>
    </xf>
    <xf numFmtId="2" fontId="10" fillId="0" borderId="0" xfId="0" applyNumberFormat="1" applyFont="1" applyFill="1" applyBorder="1" applyAlignment="1">
      <alignment horizontal="left" vertical="center" wrapText="1"/>
    </xf>
    <xf numFmtId="2" fontId="23" fillId="0" borderId="0" xfId="0" applyNumberFormat="1" applyFont="1" applyFill="1" applyBorder="1" applyAlignment="1">
      <alignment horizontal="left" vertical="center" wrapText="1"/>
    </xf>
    <xf numFmtId="0" fontId="22" fillId="5" borderId="20" xfId="0" applyNumberFormat="1"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17" fillId="0" borderId="0" xfId="0" applyFont="1" applyFill="1" applyBorder="1" applyAlignment="1">
      <alignment horizontal="right" vertical="center" wrapText="1"/>
    </xf>
    <xf numFmtId="167" fontId="22" fillId="0" borderId="0" xfId="0" applyNumberFormat="1" applyFont="1" applyFill="1" applyBorder="1" applyAlignment="1">
      <alignment horizontal="center" vertical="center" wrapText="1"/>
    </xf>
    <xf numFmtId="2" fontId="15" fillId="0" borderId="0" xfId="0" applyNumberFormat="1" applyFont="1" applyFill="1" applyBorder="1"/>
    <xf numFmtId="2" fontId="10" fillId="0" borderId="0" xfId="0" applyNumberFormat="1" applyFont="1" applyFill="1" applyBorder="1" applyAlignment="1">
      <alignment horizontal="left" vertical="center"/>
    </xf>
    <xf numFmtId="0" fontId="86" fillId="0" borderId="0" xfId="0" applyFont="1" applyAlignment="1">
      <alignment horizontal="left" vertical="center"/>
    </xf>
    <xf numFmtId="0" fontId="23" fillId="0" borderId="0" xfId="0" applyFont="1" applyFill="1" applyAlignment="1">
      <alignment horizontal="center" vertical="center" wrapText="1"/>
    </xf>
    <xf numFmtId="0" fontId="0" fillId="0" borderId="0" xfId="0" applyFill="1" applyBorder="1" applyAlignment="1">
      <alignment wrapText="1"/>
    </xf>
    <xf numFmtId="0" fontId="23" fillId="0" borderId="0" xfId="0" applyFont="1" applyFill="1" applyBorder="1" applyAlignment="1">
      <alignment horizontal="right" vertical="center" wrapText="1"/>
    </xf>
    <xf numFmtId="0" fontId="0" fillId="0" borderId="0" xfId="0" applyFill="1" applyBorder="1" applyAlignment="1">
      <alignment horizontal="left" vertical="center" wrapText="1"/>
    </xf>
    <xf numFmtId="0" fontId="23" fillId="0" borderId="6" xfId="0" applyFont="1" applyBorder="1" applyAlignment="1">
      <alignment horizontal="left" vertical="center" wrapText="1"/>
    </xf>
    <xf numFmtId="0" fontId="67" fillId="0" borderId="0" xfId="0" applyFont="1" applyFill="1" applyBorder="1" applyAlignment="1">
      <alignment horizontal="right" vertical="center" wrapText="1"/>
    </xf>
    <xf numFmtId="0" fontId="28" fillId="0" borderId="0" xfId="0" applyFont="1" applyFill="1" applyBorder="1" applyAlignment="1">
      <alignment horizontal="left" vertical="center" wrapText="1"/>
    </xf>
    <xf numFmtId="0" fontId="23" fillId="3" borderId="11" xfId="0" applyFont="1" applyFill="1" applyBorder="1" applyAlignment="1">
      <alignment horizontal="right" vertical="center" wrapText="1"/>
    </xf>
    <xf numFmtId="2" fontId="0" fillId="0" borderId="0" xfId="0" applyNumberFormat="1" applyFill="1" applyBorder="1" applyAlignment="1">
      <alignment wrapText="1"/>
    </xf>
    <xf numFmtId="2" fontId="23" fillId="0" borderId="0" xfId="0" applyNumberFormat="1" applyFont="1" applyFill="1" applyBorder="1" applyAlignment="1">
      <alignment wrapText="1"/>
    </xf>
    <xf numFmtId="2" fontId="23" fillId="0" borderId="0" xfId="0" applyNumberFormat="1" applyFont="1" applyAlignment="1">
      <alignment horizontal="center" vertical="center" wrapText="1"/>
    </xf>
    <xf numFmtId="167" fontId="10" fillId="0" borderId="0" xfId="0" applyNumberFormat="1" applyFont="1" applyBorder="1" applyAlignment="1">
      <alignment vertical="center" wrapText="1"/>
    </xf>
    <xf numFmtId="167" fontId="10" fillId="0" borderId="0" xfId="0" applyNumberFormat="1" applyFont="1" applyBorder="1" applyAlignment="1">
      <alignment vertical="center"/>
    </xf>
    <xf numFmtId="4" fontId="17" fillId="6" borderId="0" xfId="0" applyNumberFormat="1" applyFont="1" applyFill="1" applyBorder="1" applyAlignment="1">
      <alignment horizontal="right" vertical="center"/>
    </xf>
    <xf numFmtId="167" fontId="24" fillId="0" borderId="0" xfId="0" applyNumberFormat="1" applyFont="1" applyBorder="1" applyAlignment="1">
      <alignment horizontal="center" vertical="center" wrapText="1"/>
    </xf>
    <xf numFmtId="0" fontId="22" fillId="5" borderId="18" xfId="0" applyFont="1" applyFill="1" applyBorder="1" applyAlignment="1">
      <alignment vertical="center" wrapText="1"/>
    </xf>
    <xf numFmtId="167" fontId="10" fillId="2" borderId="18" xfId="0" applyNumberFormat="1" applyFont="1" applyFill="1" applyBorder="1" applyAlignment="1">
      <alignment vertical="center"/>
    </xf>
    <xf numFmtId="167" fontId="10" fillId="2" borderId="46" xfId="0" applyNumberFormat="1" applyFont="1" applyFill="1" applyBorder="1" applyAlignment="1">
      <alignment horizontal="center" vertical="center"/>
    </xf>
    <xf numFmtId="0" fontId="35" fillId="0" borderId="0" xfId="0" applyFont="1" applyAlignment="1">
      <alignment horizontal="left" vertical="center"/>
    </xf>
    <xf numFmtId="2" fontId="60" fillId="0" borderId="0" xfId="0" applyNumberFormat="1" applyFont="1" applyBorder="1" applyAlignment="1">
      <alignment horizontal="center" vertical="center"/>
    </xf>
    <xf numFmtId="0" fontId="9" fillId="0" borderId="4" xfId="0" quotePrefix="1" applyFont="1" applyBorder="1" applyAlignment="1">
      <alignment horizontal="left" vertical="center" wrapText="1"/>
    </xf>
    <xf numFmtId="2" fontId="23" fillId="0" borderId="0" xfId="0" applyNumberFormat="1" applyFont="1" applyAlignment="1">
      <alignment horizontal="center" vertical="center"/>
    </xf>
    <xf numFmtId="0" fontId="17" fillId="5" borderId="20" xfId="3" applyFont="1" applyFill="1" applyBorder="1" applyAlignment="1">
      <alignment horizontal="center" vertical="center"/>
    </xf>
    <xf numFmtId="0" fontId="65" fillId="0" borderId="0" xfId="0" applyFont="1" applyAlignment="1">
      <alignment horizontal="left" vertical="center"/>
    </xf>
    <xf numFmtId="4" fontId="10" fillId="3" borderId="6" xfId="0" applyNumberFormat="1" applyFont="1" applyFill="1" applyBorder="1" applyAlignment="1">
      <alignment horizontal="right" vertical="center"/>
    </xf>
    <xf numFmtId="0" fontId="15" fillId="0" borderId="0" xfId="0" applyFont="1" applyBorder="1" applyAlignment="1">
      <alignment horizontal="center" vertical="center"/>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1" fillId="0" borderId="0" xfId="0" applyNumberFormat="1" applyFont="1" applyFill="1" applyBorder="1" applyAlignment="1">
      <alignment horizontal="center" vertical="center"/>
    </xf>
    <xf numFmtId="0" fontId="22" fillId="4" borderId="28" xfId="0" quotePrefix="1" applyFont="1" applyFill="1" applyBorder="1" applyAlignment="1">
      <alignment vertical="center"/>
    </xf>
    <xf numFmtId="0" fontId="22" fillId="0" borderId="0"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6" xfId="0" applyNumberFormat="1" applyFont="1" applyBorder="1" applyAlignment="1">
      <alignment horizontal="center" vertical="center" wrapText="1"/>
    </xf>
    <xf numFmtId="167" fontId="22" fillId="0" borderId="13" xfId="0" applyNumberFormat="1" applyFont="1" applyBorder="1" applyAlignment="1">
      <alignment horizontal="center" vertical="center" wrapText="1"/>
    </xf>
    <xf numFmtId="0" fontId="9" fillId="2" borderId="21" xfId="0" applyFont="1" applyFill="1" applyBorder="1" applyAlignment="1">
      <alignment horizontal="center" vertical="center"/>
    </xf>
    <xf numFmtId="167" fontId="22" fillId="2" borderId="17" xfId="0" applyNumberFormat="1" applyFont="1" applyFill="1" applyBorder="1" applyAlignment="1">
      <alignment horizontal="center" vertical="center" wrapText="1"/>
    </xf>
    <xf numFmtId="0" fontId="22" fillId="2" borderId="18" xfId="0" applyFont="1" applyFill="1" applyBorder="1" applyAlignment="1">
      <alignment horizontal="justify" vertical="center" wrapText="1"/>
    </xf>
    <xf numFmtId="167" fontId="9" fillId="2" borderId="31" xfId="0" applyNumberFormat="1" applyFont="1" applyFill="1" applyBorder="1" applyAlignment="1">
      <alignment vertical="center"/>
    </xf>
    <xf numFmtId="167" fontId="9" fillId="2" borderId="18" xfId="0" applyNumberFormat="1" applyFont="1" applyFill="1" applyBorder="1" applyAlignment="1">
      <alignment vertical="center"/>
    </xf>
    <xf numFmtId="167" fontId="9" fillId="2" borderId="46" xfId="0" applyNumberFormat="1" applyFont="1" applyFill="1" applyBorder="1" applyAlignment="1">
      <alignment horizontal="center" vertical="center"/>
    </xf>
    <xf numFmtId="0" fontId="22" fillId="4" borderId="28" xfId="0" applyFont="1" applyFill="1" applyBorder="1" applyAlignment="1">
      <alignment vertical="center"/>
    </xf>
    <xf numFmtId="0" fontId="9" fillId="2" borderId="15" xfId="3" applyFont="1" applyFill="1" applyBorder="1" applyAlignment="1">
      <alignment horizontal="center" vertical="center"/>
    </xf>
    <xf numFmtId="167" fontId="22" fillId="2" borderId="59" xfId="3" applyNumberFormat="1" applyFont="1" applyFill="1" applyBorder="1" applyAlignment="1">
      <alignment horizontal="center" vertical="center" wrapText="1"/>
    </xf>
    <xf numFmtId="0" fontId="22" fillId="0" borderId="19" xfId="0" applyFont="1" applyBorder="1" applyAlignment="1">
      <alignment horizontal="center" vertical="center"/>
    </xf>
    <xf numFmtId="0" fontId="22" fillId="0" borderId="20" xfId="0" applyFont="1" applyBorder="1" applyAlignment="1">
      <alignment horizontal="justify" vertical="center" wrapText="1"/>
    </xf>
    <xf numFmtId="167" fontId="22" fillId="0" borderId="20" xfId="0" applyNumberFormat="1" applyFont="1" applyBorder="1" applyAlignment="1">
      <alignment horizontal="center" vertical="center"/>
    </xf>
    <xf numFmtId="167" fontId="22" fillId="0" borderId="38" xfId="0" applyNumberFormat="1" applyFont="1" applyBorder="1" applyAlignment="1">
      <alignment horizontal="center" vertical="center" wrapText="1"/>
    </xf>
    <xf numFmtId="167" fontId="9" fillId="0" borderId="14" xfId="0" applyNumberFormat="1" applyFont="1" applyBorder="1" applyAlignment="1">
      <alignment horizontal="center" vertical="center" wrapText="1"/>
    </xf>
    <xf numFmtId="0" fontId="9" fillId="0" borderId="21" xfId="0" applyFont="1" applyBorder="1" applyAlignment="1">
      <alignment vertical="center"/>
    </xf>
    <xf numFmtId="167" fontId="9" fillId="0" borderId="17" xfId="0" applyNumberFormat="1" applyFont="1" applyBorder="1" applyAlignment="1">
      <alignment vertical="center"/>
    </xf>
    <xf numFmtId="0" fontId="66" fillId="0" borderId="85" xfId="0" applyFont="1" applyBorder="1" applyAlignment="1">
      <alignment horizontal="center" vertical="center"/>
    </xf>
    <xf numFmtId="0" fontId="9" fillId="0" borderId="0" xfId="0" applyFont="1" applyBorder="1" applyAlignment="1">
      <alignment horizontal="center" vertical="center" wrapText="1"/>
    </xf>
    <xf numFmtId="10" fontId="17" fillId="0" borderId="11" xfId="0" applyNumberFormat="1" applyFont="1" applyBorder="1" applyAlignment="1">
      <alignment horizontal="right" vertical="center"/>
    </xf>
    <xf numFmtId="4" fontId="8" fillId="0" borderId="0" xfId="0" applyNumberFormat="1" applyFont="1" applyBorder="1" applyAlignment="1">
      <alignment horizontal="left" vertical="center" wrapText="1"/>
    </xf>
    <xf numFmtId="0" fontId="9" fillId="0" borderId="0" xfId="0" applyFont="1" applyBorder="1" applyAlignment="1">
      <alignment horizontal="center" vertical="center"/>
    </xf>
    <xf numFmtId="0" fontId="9" fillId="0" borderId="0" xfId="0" applyFont="1" applyAlignment="1">
      <alignment horizontal="center" vertical="center"/>
    </xf>
    <xf numFmtId="2" fontId="34" fillId="0" borderId="0" xfId="0" applyNumberFormat="1" applyFont="1" applyAlignment="1">
      <alignment horizontal="center" vertical="center"/>
    </xf>
    <xf numFmtId="0" fontId="0" fillId="0" borderId="0" xfId="0" applyAlignment="1">
      <alignment horizontal="left" vertical="center"/>
    </xf>
    <xf numFmtId="0" fontId="66" fillId="0" borderId="0" xfId="0" applyFont="1" applyAlignment="1">
      <alignment horizontal="center" vertical="center"/>
    </xf>
    <xf numFmtId="0" fontId="17" fillId="0" borderId="0" xfId="0" applyFont="1" applyFill="1" applyBorder="1" applyAlignment="1">
      <alignment vertical="center" wrapText="1"/>
    </xf>
    <xf numFmtId="0" fontId="22" fillId="0" borderId="0" xfId="0" applyFont="1" applyFill="1" applyBorder="1" applyAlignment="1">
      <alignment vertical="center" wrapText="1"/>
    </xf>
    <xf numFmtId="43" fontId="10" fillId="0" borderId="0" xfId="1" applyFont="1" applyFill="1" applyBorder="1" applyAlignment="1">
      <alignment horizontal="center" vertical="center"/>
    </xf>
    <xf numFmtId="2" fontId="10" fillId="0" borderId="0" xfId="1" applyNumberFormat="1" applyFont="1" applyFill="1" applyBorder="1" applyAlignment="1">
      <alignment horizontal="center" vertical="center" wrapText="1"/>
    </xf>
    <xf numFmtId="2" fontId="10" fillId="0" borderId="0" xfId="1" applyNumberFormat="1" applyFont="1" applyFill="1" applyBorder="1" applyAlignment="1">
      <alignment horizontal="center" vertical="center"/>
    </xf>
    <xf numFmtId="0" fontId="10" fillId="0" borderId="0" xfId="1" applyNumberFormat="1" applyFont="1" applyFill="1" applyBorder="1" applyAlignment="1">
      <alignment horizontal="center" vertical="center"/>
    </xf>
    <xf numFmtId="2" fontId="34" fillId="0" borderId="0" xfId="1" applyNumberFormat="1" applyFont="1" applyFill="1" applyBorder="1" applyAlignment="1" applyProtection="1">
      <alignment horizontal="center" vertical="center"/>
      <protection locked="0"/>
    </xf>
    <xf numFmtId="0" fontId="34" fillId="0" borderId="0" xfId="0" applyFont="1" applyFill="1" applyBorder="1" applyAlignment="1">
      <alignment horizontal="left" vertical="center" wrapText="1"/>
    </xf>
    <xf numFmtId="2" fontId="10" fillId="0" borderId="0" xfId="0" applyNumberFormat="1" applyFont="1" applyFill="1" applyBorder="1" applyAlignment="1" applyProtection="1">
      <alignment horizontal="center" vertical="center"/>
      <protection locked="0"/>
    </xf>
    <xf numFmtId="0" fontId="0" fillId="0" borderId="0" xfId="0" applyAlignment="1">
      <alignment horizontal="left" vertical="center"/>
    </xf>
    <xf numFmtId="4" fontId="73" fillId="0" borderId="0" xfId="5" applyNumberFormat="1" applyFont="1" applyFill="1" applyBorder="1" applyAlignment="1">
      <alignment horizontal="center" vertical="center"/>
    </xf>
    <xf numFmtId="0" fontId="73" fillId="0" borderId="0" xfId="5" applyFont="1" applyFill="1" applyBorder="1" applyAlignment="1">
      <alignment horizontal="center" vertical="center"/>
    </xf>
    <xf numFmtId="4" fontId="73" fillId="0" borderId="0" xfId="5" applyNumberFormat="1" applyFont="1" applyFill="1" applyBorder="1" applyAlignment="1">
      <alignment vertical="center" wrapText="1"/>
    </xf>
    <xf numFmtId="0" fontId="26" fillId="0" borderId="0" xfId="0" applyFont="1" applyFill="1" applyBorder="1" applyAlignment="1">
      <alignment horizontal="center" vertical="center"/>
    </xf>
    <xf numFmtId="177" fontId="73" fillId="0" borderId="0" xfId="5" applyNumberFormat="1" applyFont="1" applyFill="1" applyBorder="1" applyAlignment="1">
      <alignment horizontal="center" vertical="center" wrapText="1"/>
    </xf>
    <xf numFmtId="4" fontId="74" fillId="0" borderId="0" xfId="5"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73" fillId="0" borderId="0" xfId="5" applyFont="1" applyFill="1" applyBorder="1" applyAlignment="1">
      <alignment horizontal="center" vertical="center" wrapText="1"/>
    </xf>
    <xf numFmtId="2" fontId="10" fillId="0" borderId="0" xfId="0" applyNumberFormat="1" applyFont="1" applyAlignment="1">
      <alignment horizontal="center" vertical="center"/>
    </xf>
    <xf numFmtId="0" fontId="24" fillId="0" borderId="0" xfId="0" applyFont="1" applyAlignment="1">
      <alignment horizontal="center" vertical="center"/>
    </xf>
    <xf numFmtId="0" fontId="10" fillId="0" borderId="86" xfId="0" applyFont="1" applyFill="1" applyBorder="1" applyAlignment="1">
      <alignment horizontal="center" vertical="center"/>
    </xf>
    <xf numFmtId="0" fontId="17" fillId="0" borderId="0" xfId="0" quotePrefix="1" applyFont="1" applyFill="1" applyBorder="1" applyAlignment="1">
      <alignment horizontal="center" vertical="center"/>
    </xf>
    <xf numFmtId="0" fontId="87" fillId="0" borderId="0" xfId="0" applyFont="1" applyFill="1" applyAlignment="1" applyProtection="1">
      <alignment vertical="center"/>
      <protection hidden="1"/>
    </xf>
    <xf numFmtId="0" fontId="16" fillId="0" borderId="0" xfId="0" applyFont="1" applyFill="1" applyAlignment="1" applyProtection="1">
      <alignment vertical="center"/>
      <protection hidden="1"/>
    </xf>
    <xf numFmtId="14" fontId="16" fillId="0" borderId="0" xfId="0" applyNumberFormat="1" applyFont="1" applyFill="1" applyAlignment="1" applyProtection="1">
      <alignment vertical="center"/>
      <protection hidden="1"/>
    </xf>
    <xf numFmtId="0" fontId="0" fillId="0" borderId="0" xfId="0" applyFont="1"/>
    <xf numFmtId="0" fontId="0" fillId="0" borderId="0" xfId="0" applyFont="1" applyAlignment="1">
      <alignment horizontal="center"/>
    </xf>
    <xf numFmtId="175" fontId="0" fillId="0" borderId="0" xfId="0" applyNumberFormat="1" applyFont="1"/>
    <xf numFmtId="0" fontId="66" fillId="0" borderId="4" xfId="0" applyFont="1" applyBorder="1" applyAlignment="1">
      <alignment horizontal="left" vertical="center"/>
    </xf>
    <xf numFmtId="0" fontId="0" fillId="0" borderId="4" xfId="0" applyBorder="1" applyAlignment="1">
      <alignment horizontal="left" vertical="center"/>
    </xf>
    <xf numFmtId="180" fontId="0" fillId="0" borderId="4" xfId="0" applyNumberFormat="1" applyBorder="1" applyAlignment="1">
      <alignment horizontal="left" vertical="center"/>
    </xf>
    <xf numFmtId="0" fontId="0" fillId="40" borderId="4" xfId="0" applyFont="1" applyFill="1" applyBorder="1" applyAlignment="1">
      <alignment horizontal="left" vertical="center"/>
    </xf>
    <xf numFmtId="0" fontId="0" fillId="40" borderId="4" xfId="0" applyFill="1" applyBorder="1" applyAlignment="1">
      <alignment horizontal="left" vertical="center"/>
    </xf>
    <xf numFmtId="175" fontId="0" fillId="40" borderId="4" xfId="0" applyNumberFormat="1" applyFill="1" applyBorder="1" applyAlignment="1">
      <alignment horizontal="left" vertical="center"/>
    </xf>
    <xf numFmtId="175" fontId="0" fillId="40" borderId="4" xfId="0" applyNumberFormat="1" applyFont="1" applyFill="1" applyBorder="1" applyAlignment="1">
      <alignment horizontal="left" vertical="center"/>
    </xf>
    <xf numFmtId="0" fontId="0" fillId="40" borderId="4" xfId="0" applyFont="1" applyFill="1" applyBorder="1" applyAlignment="1">
      <alignment horizontal="left" vertical="center" wrapText="1"/>
    </xf>
    <xf numFmtId="0" fontId="66" fillId="3" borderId="24" xfId="0" applyFont="1" applyFill="1" applyBorder="1" applyAlignment="1">
      <alignment horizontal="left" vertical="center"/>
    </xf>
    <xf numFmtId="0" fontId="0" fillId="40" borderId="11" xfId="0" applyFill="1" applyBorder="1" applyAlignment="1">
      <alignment horizontal="right" vertical="center"/>
    </xf>
    <xf numFmtId="0" fontId="0" fillId="40" borderId="10" xfId="0" applyFill="1" applyBorder="1" applyAlignment="1">
      <alignment horizontal="left" vertical="center"/>
    </xf>
    <xf numFmtId="0" fontId="66" fillId="3" borderId="10" xfId="0" applyFont="1" applyFill="1" applyBorder="1" applyAlignment="1">
      <alignment horizontal="left" vertical="center"/>
    </xf>
    <xf numFmtId="0" fontId="0" fillId="0" borderId="11" xfId="0" applyBorder="1" applyAlignment="1">
      <alignment horizontal="left" vertical="center"/>
    </xf>
    <xf numFmtId="0" fontId="71" fillId="40" borderId="10" xfId="0" applyFont="1" applyFill="1" applyBorder="1" applyAlignment="1">
      <alignment horizontal="left" vertical="center"/>
    </xf>
    <xf numFmtId="0" fontId="71" fillId="40" borderId="11" xfId="0" applyFont="1" applyFill="1" applyBorder="1" applyAlignment="1">
      <alignment horizontal="right" vertical="center"/>
    </xf>
    <xf numFmtId="0" fontId="0" fillId="40" borderId="10" xfId="0" applyFill="1" applyBorder="1" applyAlignment="1">
      <alignment horizontal="center" vertical="center"/>
    </xf>
    <xf numFmtId="0" fontId="71" fillId="40" borderId="10" xfId="0" applyFont="1" applyFill="1" applyBorder="1" applyAlignment="1">
      <alignment horizontal="center" vertical="center"/>
    </xf>
    <xf numFmtId="0" fontId="0" fillId="0" borderId="11" xfId="0" applyBorder="1" applyAlignment="1">
      <alignment horizontal="left"/>
    </xf>
    <xf numFmtId="0" fontId="0" fillId="40" borderId="45" xfId="0" applyFill="1" applyBorder="1" applyAlignment="1">
      <alignment horizontal="left" vertical="center"/>
    </xf>
    <xf numFmtId="0" fontId="0" fillId="40" borderId="44" xfId="0" applyFill="1" applyBorder="1" applyAlignment="1">
      <alignment horizontal="right" vertical="center"/>
    </xf>
    <xf numFmtId="0" fontId="0" fillId="0" borderId="94" xfId="0" applyFont="1" applyBorder="1" applyAlignment="1">
      <alignment horizontal="right" vertical="center" wrapText="1"/>
    </xf>
    <xf numFmtId="0" fontId="0" fillId="0" borderId="97" xfId="0" applyFont="1" applyBorder="1" applyAlignment="1">
      <alignment vertical="center" wrapText="1"/>
    </xf>
    <xf numFmtId="0" fontId="89" fillId="0" borderId="97" xfId="0" applyFont="1" applyBorder="1" applyAlignment="1">
      <alignment vertical="center" wrapText="1"/>
    </xf>
    <xf numFmtId="0" fontId="89" fillId="31" borderId="93" xfId="0" applyFont="1" applyFill="1" applyBorder="1" applyAlignment="1">
      <alignment vertical="center" wrapText="1"/>
    </xf>
    <xf numFmtId="0" fontId="89" fillId="31" borderId="94" xfId="0" applyFont="1" applyFill="1" applyBorder="1" applyAlignment="1">
      <alignment horizontal="right" vertical="center" wrapText="1"/>
    </xf>
    <xf numFmtId="167" fontId="22" fillId="0" borderId="14" xfId="0" applyNumberFormat="1" applyFont="1" applyBorder="1" applyAlignment="1">
      <alignment horizontal="center" vertical="center" wrapText="1"/>
    </xf>
    <xf numFmtId="167" fontId="9" fillId="0" borderId="0" xfId="0" applyNumberFormat="1" applyFont="1" applyBorder="1" applyAlignment="1">
      <alignment horizontal="center" vertical="center"/>
    </xf>
    <xf numFmtId="2" fontId="23" fillId="0" borderId="0" xfId="0" applyNumberFormat="1" applyFont="1" applyBorder="1" applyAlignment="1">
      <alignment horizontal="center" vertical="center"/>
    </xf>
    <xf numFmtId="0" fontId="89" fillId="31" borderId="99" xfId="0" applyFont="1" applyFill="1" applyBorder="1" applyAlignment="1">
      <alignment vertical="center" wrapText="1"/>
    </xf>
    <xf numFmtId="0" fontId="67" fillId="31" borderId="100" xfId="0" applyFont="1" applyFill="1" applyBorder="1" applyAlignment="1">
      <alignment horizontal="right" vertical="center" wrapText="1"/>
    </xf>
    <xf numFmtId="0" fontId="0" fillId="31" borderId="24" xfId="0" applyFont="1" applyFill="1" applyBorder="1" applyAlignment="1">
      <alignment vertical="center" wrapText="1"/>
    </xf>
    <xf numFmtId="0" fontId="0" fillId="31" borderId="26" xfId="0" applyFont="1" applyFill="1" applyBorder="1" applyAlignment="1">
      <alignment horizontal="right" vertical="center" wrapText="1"/>
    </xf>
    <xf numFmtId="0" fontId="0" fillId="31" borderId="95" xfId="0" applyFont="1" applyFill="1" applyBorder="1" applyAlignment="1">
      <alignment vertical="center" wrapText="1"/>
    </xf>
    <xf numFmtId="0" fontId="0" fillId="31" borderId="94" xfId="0" applyFont="1" applyFill="1" applyBorder="1" applyAlignment="1">
      <alignment horizontal="right" vertical="center" wrapText="1"/>
    </xf>
    <xf numFmtId="0" fontId="0" fillId="31" borderId="93" xfId="0" applyFont="1" applyFill="1" applyBorder="1" applyAlignment="1">
      <alignment vertical="center" wrapText="1"/>
    </xf>
    <xf numFmtId="0" fontId="0" fillId="31" borderId="96" xfId="0" applyFont="1" applyFill="1" applyBorder="1" applyAlignment="1">
      <alignment vertical="center" wrapText="1"/>
    </xf>
    <xf numFmtId="0" fontId="0" fillId="31" borderId="93" xfId="0" applyFont="1" applyFill="1" applyBorder="1" applyAlignment="1">
      <alignment horizontal="center" vertical="center" wrapText="1"/>
    </xf>
    <xf numFmtId="0" fontId="71" fillId="31" borderId="93" xfId="0" applyFont="1" applyFill="1" applyBorder="1" applyAlignment="1">
      <alignment horizontal="center" vertical="center" wrapText="1"/>
    </xf>
    <xf numFmtId="0" fontId="0" fillId="31" borderId="98" xfId="0" applyFont="1" applyFill="1" applyBorder="1" applyAlignment="1">
      <alignment vertical="center" wrapText="1"/>
    </xf>
    <xf numFmtId="0" fontId="0" fillId="31" borderId="44" xfId="0" applyFont="1" applyFill="1" applyBorder="1" applyAlignment="1">
      <alignment horizontal="right" vertical="center" wrapText="1"/>
    </xf>
    <xf numFmtId="0" fontId="0" fillId="31" borderId="91" xfId="0" applyFont="1" applyFill="1" applyBorder="1" applyAlignment="1">
      <alignment vertical="center" wrapText="1"/>
    </xf>
    <xf numFmtId="0" fontId="88" fillId="31" borderId="92" xfId="0" applyFont="1" applyFill="1" applyBorder="1" applyAlignment="1">
      <alignment horizontal="right" vertical="center" wrapText="1"/>
    </xf>
    <xf numFmtId="0" fontId="88" fillId="31" borderId="94" xfId="0" applyFont="1" applyFill="1" applyBorder="1" applyAlignment="1">
      <alignment horizontal="right" vertical="center" wrapText="1"/>
    </xf>
    <xf numFmtId="0" fontId="89" fillId="31" borderId="96" xfId="0" applyFont="1" applyFill="1" applyBorder="1" applyAlignment="1">
      <alignment vertical="center" wrapText="1"/>
    </xf>
    <xf numFmtId="0" fontId="89" fillId="31" borderId="101" xfId="0" applyFont="1" applyFill="1" applyBorder="1" applyAlignment="1">
      <alignment vertical="center" wrapText="1"/>
    </xf>
    <xf numFmtId="0" fontId="89" fillId="31" borderId="44" xfId="0" applyFont="1" applyFill="1" applyBorder="1" applyAlignment="1">
      <alignment horizontal="right" vertical="center" wrapText="1"/>
    </xf>
    <xf numFmtId="2" fontId="9" fillId="0" borderId="0" xfId="1" applyNumberFormat="1" applyFont="1" applyFill="1" applyBorder="1" applyAlignment="1" applyProtection="1">
      <alignment horizontal="center" vertical="center"/>
      <protection locked="0"/>
    </xf>
    <xf numFmtId="0" fontId="74" fillId="0" borderId="0" xfId="5" applyFont="1" applyFill="1" applyBorder="1" applyAlignment="1">
      <alignment horizontal="center" vertical="center" wrapText="1"/>
    </xf>
    <xf numFmtId="0" fontId="0" fillId="40" borderId="4" xfId="0" applyFont="1" applyFill="1" applyBorder="1" applyAlignment="1">
      <alignment horizontal="left" vertical="center"/>
    </xf>
    <xf numFmtId="0" fontId="73" fillId="0" borderId="0" xfId="5" applyFont="1" applyFill="1" applyBorder="1" applyAlignment="1">
      <alignment vertical="center"/>
    </xf>
    <xf numFmtId="2" fontId="9" fillId="0" borderId="0" xfId="1" applyNumberFormat="1" applyFont="1" applyFill="1" applyBorder="1" applyAlignment="1" applyProtection="1">
      <alignment horizontal="center" vertical="center"/>
    </xf>
    <xf numFmtId="0" fontId="0" fillId="40" borderId="4" xfId="0" applyFont="1" applyFill="1" applyBorder="1" applyAlignment="1">
      <alignment horizontal="left" vertical="center"/>
    </xf>
    <xf numFmtId="0" fontId="0" fillId="40" borderId="4" xfId="0" applyFont="1" applyFill="1" applyBorder="1" applyAlignment="1">
      <alignment horizontal="left" vertical="center" wrapText="1"/>
    </xf>
    <xf numFmtId="175" fontId="0" fillId="40" borderId="4" xfId="0" applyNumberFormat="1" applyFont="1" applyFill="1" applyBorder="1" applyAlignment="1">
      <alignment horizontal="left" vertical="center"/>
    </xf>
    <xf numFmtId="0" fontId="0" fillId="0" borderId="0" xfId="0" applyAlignment="1">
      <alignment horizontal="left" vertical="center"/>
    </xf>
    <xf numFmtId="0" fontId="34" fillId="0" borderId="0" xfId="1" applyNumberFormat="1" applyFont="1" applyFill="1" applyBorder="1" applyAlignment="1">
      <alignment horizontal="center" vertical="center"/>
    </xf>
    <xf numFmtId="0" fontId="0" fillId="0" borderId="58" xfId="0" applyFont="1" applyFill="1" applyBorder="1" applyAlignment="1">
      <alignment horizontal="left" vertical="center"/>
    </xf>
    <xf numFmtId="180" fontId="0" fillId="40" borderId="4" xfId="0" applyNumberFormat="1" applyFill="1" applyBorder="1" applyAlignment="1">
      <alignment horizontal="left" vertical="center"/>
    </xf>
    <xf numFmtId="2" fontId="9" fillId="0" borderId="0" xfId="0" quotePrefix="1" applyNumberFormat="1" applyFont="1" applyFill="1" applyBorder="1" applyAlignment="1">
      <alignment horizontal="center" vertical="center"/>
    </xf>
    <xf numFmtId="172" fontId="9" fillId="0" borderId="0" xfId="0" applyNumberFormat="1" applyFont="1" applyBorder="1" applyAlignment="1">
      <alignment horizontal="center" vertical="center"/>
    </xf>
    <xf numFmtId="167" fontId="23" fillId="0" borderId="0" xfId="0" applyNumberFormat="1" applyFont="1" applyBorder="1" applyAlignment="1">
      <alignment horizontal="center" vertical="center" wrapText="1"/>
    </xf>
    <xf numFmtId="0" fontId="21" fillId="0" borderId="4" xfId="0" applyFont="1" applyBorder="1" applyAlignment="1">
      <alignment horizontal="left" vertical="center" wrapText="1"/>
    </xf>
    <xf numFmtId="2" fontId="54" fillId="0" borderId="0" xfId="0" applyNumberFormat="1" applyFont="1" applyFill="1" applyBorder="1" applyAlignment="1">
      <alignment horizontal="left" vertical="center"/>
    </xf>
    <xf numFmtId="0" fontId="23" fillId="0" borderId="0" xfId="0" applyFont="1" applyAlignment="1">
      <alignment vertical="center"/>
    </xf>
    <xf numFmtId="0" fontId="0" fillId="3" borderId="4" xfId="0" applyFont="1" applyFill="1" applyBorder="1" applyAlignment="1">
      <alignment horizontal="left" vertical="center"/>
    </xf>
    <xf numFmtId="0" fontId="0" fillId="3" borderId="4" xfId="0" applyFont="1" applyFill="1" applyBorder="1" applyAlignment="1">
      <alignment horizontal="left" vertical="center" wrapText="1"/>
    </xf>
    <xf numFmtId="0" fontId="0" fillId="3" borderId="4" xfId="0" applyFill="1" applyBorder="1" applyAlignment="1">
      <alignment horizontal="left" vertical="center"/>
    </xf>
    <xf numFmtId="175" fontId="0" fillId="3" borderId="4" xfId="0" applyNumberFormat="1" applyFill="1" applyBorder="1" applyAlignment="1">
      <alignment horizontal="left" vertical="center"/>
    </xf>
    <xf numFmtId="0" fontId="0" fillId="40" borderId="4" xfId="0" applyFill="1" applyBorder="1" applyAlignment="1">
      <alignment horizontal="left" vertical="center" wrapText="1"/>
    </xf>
    <xf numFmtId="0" fontId="0" fillId="3" borderId="0" xfId="0" applyFill="1" applyAlignment="1">
      <alignment horizontal="left" vertical="center"/>
    </xf>
    <xf numFmtId="0" fontId="17" fillId="2" borderId="18" xfId="0" applyFont="1" applyFill="1" applyBorder="1" applyAlignment="1">
      <alignment horizontal="right" vertical="center" wrapText="1"/>
    </xf>
    <xf numFmtId="4" fontId="17" fillId="2" borderId="18" xfId="0" applyNumberFormat="1" applyFont="1" applyFill="1" applyBorder="1" applyAlignment="1">
      <alignment horizontal="right" vertical="center" wrapText="1"/>
    </xf>
    <xf numFmtId="167" fontId="10" fillId="3" borderId="6" xfId="0" applyNumberFormat="1" applyFont="1" applyFill="1" applyBorder="1" applyAlignment="1">
      <alignment horizontal="right" vertical="center"/>
    </xf>
    <xf numFmtId="2" fontId="7" fillId="36" borderId="20" xfId="0" applyNumberFormat="1" applyFont="1" applyFill="1" applyBorder="1" applyAlignment="1">
      <alignment horizontal="right" vertical="center" wrapText="1"/>
    </xf>
    <xf numFmtId="4" fontId="7" fillId="36" borderId="20" xfId="0" applyNumberFormat="1" applyFont="1" applyFill="1" applyBorder="1" applyAlignment="1">
      <alignment horizontal="right" vertical="center" wrapText="1"/>
    </xf>
    <xf numFmtId="2" fontId="10" fillId="36" borderId="20" xfId="1" applyNumberFormat="1" applyFont="1" applyFill="1" applyBorder="1" applyAlignment="1">
      <alignment horizontal="right" vertical="center"/>
    </xf>
    <xf numFmtId="2" fontId="7" fillId="33" borderId="6" xfId="0" applyNumberFormat="1" applyFont="1" applyFill="1" applyBorder="1" applyAlignment="1">
      <alignment horizontal="right" vertical="center" wrapText="1"/>
    </xf>
    <xf numFmtId="4" fontId="7" fillId="33" borderId="6" xfId="0" applyNumberFormat="1" applyFont="1" applyFill="1" applyBorder="1" applyAlignment="1">
      <alignment horizontal="right" vertical="center" wrapText="1"/>
    </xf>
    <xf numFmtId="2" fontId="10" fillId="33" borderId="6" xfId="1" applyNumberFormat="1" applyFont="1" applyFill="1" applyBorder="1" applyAlignment="1">
      <alignment horizontal="right" vertical="center"/>
    </xf>
    <xf numFmtId="4" fontId="7" fillId="2" borderId="18"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0" fontId="32" fillId="0" borderId="0" xfId="0" applyNumberFormat="1" applyFont="1" applyFill="1" applyBorder="1" applyAlignment="1" applyProtection="1"/>
    <xf numFmtId="0" fontId="18" fillId="0" borderId="10" xfId="0" applyNumberFormat="1" applyFont="1" applyFill="1" applyBorder="1" applyAlignment="1" applyProtection="1">
      <alignment vertical="center"/>
    </xf>
    <xf numFmtId="0" fontId="18" fillId="0" borderId="0" xfId="0" applyNumberFormat="1" applyFont="1" applyFill="1" applyBorder="1" applyAlignment="1" applyProtection="1">
      <alignment vertical="center"/>
    </xf>
    <xf numFmtId="0" fontId="18" fillId="0" borderId="11" xfId="0" applyNumberFormat="1" applyFont="1" applyFill="1" applyBorder="1" applyAlignment="1" applyProtection="1">
      <alignment vertical="center"/>
    </xf>
    <xf numFmtId="0" fontId="68" fillId="0" borderId="10" xfId="0" applyNumberFormat="1" applyFont="1" applyFill="1" applyBorder="1" applyAlignment="1" applyProtection="1">
      <alignment horizontal="left" vertical="center"/>
    </xf>
    <xf numFmtId="2" fontId="18" fillId="0" borderId="11" xfId="0" applyNumberFormat="1" applyFont="1" applyFill="1" applyBorder="1" applyAlignment="1" applyProtection="1">
      <alignment vertical="center" wrapText="1"/>
    </xf>
    <xf numFmtId="10" fontId="68" fillId="0" borderId="0" xfId="0" applyNumberFormat="1" applyFont="1" applyFill="1" applyBorder="1" applyAlignment="1" applyProtection="1">
      <alignment horizontal="right" vertical="center"/>
    </xf>
    <xf numFmtId="10" fontId="68" fillId="0" borderId="11" xfId="0" applyNumberFormat="1" applyFont="1" applyFill="1" applyBorder="1" applyAlignment="1" applyProtection="1">
      <alignment horizontal="center" vertical="center"/>
    </xf>
    <xf numFmtId="0" fontId="68" fillId="0" borderId="10"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4" fontId="68" fillId="0" borderId="0" xfId="0" applyNumberFormat="1" applyFont="1" applyFill="1" applyBorder="1" applyAlignment="1" applyProtection="1">
      <alignment horizontal="right" vertical="center"/>
    </xf>
    <xf numFmtId="49" fontId="68" fillId="0" borderId="11"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68" fillId="0" borderId="11" xfId="0" applyNumberFormat="1" applyFont="1" applyFill="1" applyBorder="1" applyAlignment="1" applyProtection="1">
      <alignment horizontal="center" vertical="center"/>
    </xf>
    <xf numFmtId="0" fontId="68" fillId="34" borderId="33" xfId="0" applyNumberFormat="1" applyFont="1" applyFill="1" applyBorder="1" applyAlignment="1" applyProtection="1">
      <alignment horizontal="right" vertical="center" wrapText="1"/>
    </xf>
    <xf numFmtId="0" fontId="91" fillId="0" borderId="0" xfId="0" applyNumberFormat="1" applyFont="1" applyFill="1" applyBorder="1" applyAlignment="1" applyProtection="1">
      <alignment horizontal="center" vertical="center"/>
    </xf>
    <xf numFmtId="0" fontId="68" fillId="0" borderId="50" xfId="0" applyNumberFormat="1" applyFont="1" applyFill="1" applyBorder="1" applyAlignment="1" applyProtection="1">
      <alignment horizontal="right" vertical="center" wrapText="1"/>
    </xf>
    <xf numFmtId="167" fontId="68" fillId="0" borderId="40" xfId="0" applyNumberFormat="1" applyFont="1" applyFill="1" applyBorder="1" applyAlignment="1" applyProtection="1">
      <alignment horizontal="justify" vertical="center" wrapText="1"/>
    </xf>
    <xf numFmtId="167" fontId="68" fillId="0" borderId="51" xfId="0" applyNumberFormat="1" applyFont="1" applyFill="1" applyBorder="1" applyAlignment="1" applyProtection="1">
      <alignment horizontal="justify" vertical="center" wrapText="1"/>
    </xf>
    <xf numFmtId="0" fontId="68" fillId="0" borderId="50" xfId="0" applyNumberFormat="1" applyFont="1" applyFill="1" applyBorder="1" applyAlignment="1" applyProtection="1">
      <alignment horizontal="right" vertical="center"/>
    </xf>
    <xf numFmtId="0" fontId="68" fillId="0" borderId="40" xfId="0" applyNumberFormat="1" applyFont="1" applyFill="1" applyBorder="1" applyAlignment="1" applyProtection="1">
      <alignment horizontal="left" vertical="center"/>
    </xf>
    <xf numFmtId="0" fontId="68" fillId="0" borderId="51" xfId="0" applyNumberFormat="1" applyFont="1" applyFill="1" applyBorder="1" applyAlignment="1" applyProtection="1">
      <alignment horizontal="left" vertical="center"/>
    </xf>
    <xf numFmtId="0" fontId="68" fillId="41" borderId="4" xfId="0" applyNumberFormat="1" applyFont="1" applyFill="1" applyBorder="1" applyAlignment="1" applyProtection="1">
      <alignment horizontal="center" vertical="center"/>
    </xf>
    <xf numFmtId="167" fontId="18" fillId="0" borderId="4" xfId="0" applyNumberFormat="1" applyFont="1" applyFill="1" applyBorder="1" applyAlignment="1" applyProtection="1">
      <alignment horizontal="center" vertical="center" wrapText="1"/>
    </xf>
    <xf numFmtId="167" fontId="68" fillId="41" borderId="12"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right" vertical="center"/>
    </xf>
    <xf numFmtId="167" fontId="68" fillId="0" borderId="40" xfId="0" applyNumberFormat="1" applyFont="1" applyFill="1" applyBorder="1" applyAlignment="1" applyProtection="1">
      <alignment horizontal="center" vertical="center" wrapText="1"/>
    </xf>
    <xf numFmtId="0" fontId="18" fillId="0" borderId="40" xfId="0" applyNumberFormat="1" applyFont="1" applyFill="1" applyBorder="1" applyAlignment="1" applyProtection="1">
      <alignment horizontal="center" vertical="center" wrapText="1"/>
    </xf>
    <xf numFmtId="0" fontId="18" fillId="0" borderId="51" xfId="0" applyNumberFormat="1" applyFont="1" applyFill="1" applyBorder="1" applyAlignment="1" applyProtection="1">
      <alignment horizontal="center" vertical="center" wrapText="1"/>
    </xf>
    <xf numFmtId="0" fontId="68" fillId="41" borderId="104" xfId="0" applyNumberFormat="1" applyFont="1" applyFill="1" applyBorder="1" applyAlignment="1" applyProtection="1">
      <alignment horizontal="center" vertical="center" wrapText="1"/>
    </xf>
    <xf numFmtId="0" fontId="68" fillId="41" borderId="105" xfId="0" applyNumberFormat="1" applyFont="1" applyFill="1" applyBorder="1" applyAlignment="1" applyProtection="1">
      <alignment horizontal="center" vertical="center" wrapText="1"/>
    </xf>
    <xf numFmtId="0" fontId="68" fillId="41" borderId="106" xfId="0" applyNumberFormat="1" applyFont="1" applyFill="1" applyBorder="1" applyAlignment="1" applyProtection="1">
      <alignment horizontal="center" vertical="center" wrapText="1"/>
    </xf>
    <xf numFmtId="2" fontId="18" fillId="0" borderId="104" xfId="0" applyNumberFormat="1" applyFont="1" applyFill="1" applyBorder="1" applyAlignment="1" applyProtection="1">
      <alignment horizontal="center" vertical="center" wrapText="1"/>
    </xf>
    <xf numFmtId="2" fontId="18" fillId="0" borderId="105" xfId="0" applyNumberFormat="1" applyFont="1" applyFill="1" applyBorder="1" applyAlignment="1" applyProtection="1">
      <alignment horizontal="center" vertical="center" wrapText="1"/>
    </xf>
    <xf numFmtId="2" fontId="18" fillId="0" borderId="106" xfId="0" applyNumberFormat="1" applyFont="1" applyFill="1" applyBorder="1" applyAlignment="1" applyProtection="1">
      <alignment vertical="center" wrapText="1"/>
    </xf>
    <xf numFmtId="2" fontId="18" fillId="41" borderId="113" xfId="0" applyNumberFormat="1" applyFont="1" applyFill="1" applyBorder="1" applyAlignment="1" applyProtection="1">
      <alignment horizontal="center" vertical="center" wrapText="1"/>
    </xf>
    <xf numFmtId="2" fontId="18" fillId="41" borderId="114" xfId="0" applyNumberFormat="1" applyFont="1" applyFill="1" applyBorder="1" applyAlignment="1" applyProtection="1">
      <alignment horizontal="center" vertical="center" wrapText="1"/>
    </xf>
    <xf numFmtId="167" fontId="68" fillId="0" borderId="115" xfId="0" applyNumberFormat="1" applyFont="1" applyFill="1" applyBorder="1" applyAlignment="1" applyProtection="1">
      <alignment horizontal="right" vertical="center" wrapText="1"/>
    </xf>
    <xf numFmtId="167" fontId="68" fillId="0" borderId="113" xfId="0" applyNumberFormat="1" applyFont="1" applyFill="1" applyBorder="1" applyAlignment="1" applyProtection="1">
      <alignment horizontal="right" vertical="center" wrapText="1"/>
    </xf>
    <xf numFmtId="2" fontId="18" fillId="0" borderId="113" xfId="0" applyNumberFormat="1" applyFont="1" applyFill="1" applyBorder="1" applyAlignment="1" applyProtection="1">
      <alignment horizontal="center" vertical="center" wrapText="1"/>
    </xf>
    <xf numFmtId="2" fontId="18" fillId="0" borderId="114" xfId="0" applyNumberFormat="1" applyFont="1" applyFill="1" applyBorder="1" applyAlignment="1" applyProtection="1">
      <alignment horizontal="center" vertical="center" wrapText="1"/>
    </xf>
    <xf numFmtId="0" fontId="68" fillId="34" borderId="116" xfId="0" applyNumberFormat="1" applyFont="1" applyFill="1" applyBorder="1" applyAlignment="1" applyProtection="1">
      <alignment horizontal="right" vertical="center" wrapText="1"/>
    </xf>
    <xf numFmtId="0" fontId="68" fillId="41" borderId="28" xfId="0" applyNumberFormat="1" applyFont="1" applyFill="1" applyBorder="1" applyAlignment="1" applyProtection="1">
      <alignment horizontal="center" vertical="center" wrapText="1"/>
    </xf>
    <xf numFmtId="0" fontId="68" fillId="41" borderId="6" xfId="0" applyNumberFormat="1" applyFont="1" applyFill="1" applyBorder="1" applyAlignment="1" applyProtection="1">
      <alignment horizontal="center" vertical="center" wrapText="1"/>
    </xf>
    <xf numFmtId="167" fontId="18" fillId="0" borderId="104" xfId="0" quotePrefix="1" applyNumberFormat="1" applyFont="1" applyFill="1" applyBorder="1" applyAlignment="1" applyProtection="1">
      <alignment horizontal="center" vertical="center" wrapText="1"/>
    </xf>
    <xf numFmtId="167" fontId="18" fillId="0" borderId="105" xfId="0" applyNumberFormat="1" applyFont="1" applyFill="1" applyBorder="1" applyAlignment="1" applyProtection="1">
      <alignment vertical="center" wrapText="1"/>
    </xf>
    <xf numFmtId="2" fontId="32" fillId="0" borderId="0" xfId="0" applyNumberFormat="1" applyFont="1" applyFill="1" applyBorder="1" applyAlignment="1" applyProtection="1"/>
    <xf numFmtId="0" fontId="18" fillId="0" borderId="104" xfId="0" quotePrefix="1" applyNumberFormat="1" applyFont="1" applyFill="1" applyBorder="1" applyAlignment="1" applyProtection="1">
      <alignment horizontal="center" vertical="center" wrapText="1"/>
    </xf>
    <xf numFmtId="2" fontId="18" fillId="0" borderId="105" xfId="0" applyNumberFormat="1" applyFont="1" applyFill="1" applyBorder="1" applyAlignment="1" applyProtection="1">
      <alignment vertical="center"/>
    </xf>
    <xf numFmtId="0" fontId="18" fillId="41" borderId="115" xfId="0" applyNumberFormat="1" applyFont="1" applyFill="1" applyBorder="1" applyAlignment="1" applyProtection="1">
      <alignment vertical="center" wrapText="1"/>
    </xf>
    <xf numFmtId="0" fontId="68" fillId="41" borderId="113" xfId="0" applyNumberFormat="1" applyFont="1" applyFill="1" applyBorder="1" applyAlignment="1" applyProtection="1">
      <alignment horizontal="center" vertical="center"/>
    </xf>
    <xf numFmtId="167" fontId="68" fillId="41" borderId="113" xfId="0" quotePrefix="1" applyNumberFormat="1" applyFont="1" applyFill="1" applyBorder="1" applyAlignment="1" applyProtection="1">
      <alignment horizontal="center" vertical="center" wrapText="1"/>
    </xf>
    <xf numFmtId="167" fontId="68" fillId="41" borderId="120" xfId="0" applyNumberFormat="1" applyFont="1" applyFill="1" applyBorder="1" applyAlignment="1" applyProtection="1">
      <alignment horizontal="right" vertical="center" wrapText="1"/>
    </xf>
    <xf numFmtId="167" fontId="18" fillId="41" borderId="121" xfId="0" applyNumberFormat="1" applyFont="1" applyFill="1" applyBorder="1" applyAlignment="1" applyProtection="1">
      <alignment vertical="center" wrapText="1"/>
    </xf>
    <xf numFmtId="167" fontId="18" fillId="41" borderId="111" xfId="0" applyNumberFormat="1" applyFont="1" applyFill="1" applyBorder="1" applyAlignment="1" applyProtection="1">
      <alignment vertical="center" wrapText="1"/>
    </xf>
    <xf numFmtId="167" fontId="18" fillId="41" borderId="122"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right" vertical="center"/>
    </xf>
    <xf numFmtId="0" fontId="68" fillId="0" borderId="0" xfId="0" applyNumberFormat="1" applyFont="1" applyFill="1" applyBorder="1" applyAlignment="1" applyProtection="1">
      <alignment horizontal="right" vertical="center"/>
    </xf>
    <xf numFmtId="167" fontId="68" fillId="0" borderId="0"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wrapText="1"/>
    </xf>
    <xf numFmtId="0" fontId="18" fillId="0" borderId="11" xfId="0" applyNumberFormat="1" applyFont="1" applyFill="1" applyBorder="1" applyAlignment="1" applyProtection="1">
      <alignment horizontal="center" vertical="center" wrapText="1"/>
    </xf>
    <xf numFmtId="2" fontId="79" fillId="0" borderId="104" xfId="0" applyNumberFormat="1" applyFont="1" applyFill="1" applyBorder="1" applyAlignment="1" applyProtection="1">
      <alignment horizontal="center" vertical="center" wrapText="1"/>
    </xf>
    <xf numFmtId="2" fontId="18" fillId="0" borderId="10" xfId="0" applyNumberFormat="1" applyFont="1" applyFill="1" applyBorder="1" applyAlignment="1" applyProtection="1">
      <alignment horizontal="center" vertical="center" wrapText="1"/>
    </xf>
    <xf numFmtId="2" fontId="18" fillId="0" borderId="0" xfId="0" applyNumberFormat="1" applyFont="1" applyFill="1" applyBorder="1" applyAlignment="1" applyProtection="1">
      <alignment horizontal="center" vertical="center" wrapText="1"/>
    </xf>
    <xf numFmtId="2" fontId="18" fillId="0" borderId="11"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vertical="center" wrapText="1"/>
    </xf>
    <xf numFmtId="167" fontId="18" fillId="0" borderId="105" xfId="0" applyNumberFormat="1" applyFont="1" applyFill="1" applyBorder="1" applyAlignment="1" applyProtection="1">
      <alignment horizontal="center" vertical="center" wrapText="1"/>
    </xf>
    <xf numFmtId="0" fontId="18" fillId="41" borderId="10" xfId="0" applyNumberFormat="1" applyFont="1" applyFill="1" applyBorder="1" applyAlignment="1" applyProtection="1">
      <alignment vertical="center" wrapText="1"/>
    </xf>
    <xf numFmtId="0" fontId="68" fillId="41" borderId="0" xfId="0" applyNumberFormat="1" applyFont="1" applyFill="1" applyBorder="1" applyAlignment="1" applyProtection="1">
      <alignment horizontal="center" vertical="center"/>
    </xf>
    <xf numFmtId="167" fontId="68" fillId="41" borderId="0" xfId="0" quotePrefix="1" applyNumberFormat="1" applyFont="1" applyFill="1" applyBorder="1" applyAlignment="1" applyProtection="1">
      <alignment horizontal="center" vertical="center" wrapText="1"/>
    </xf>
    <xf numFmtId="167" fontId="68" fillId="41" borderId="123" xfId="0" applyNumberFormat="1" applyFont="1" applyFill="1" applyBorder="1" applyAlignment="1" applyProtection="1">
      <alignment horizontal="center" vertical="center" wrapText="1"/>
    </xf>
    <xf numFmtId="167" fontId="18" fillId="41" borderId="119" xfId="0" applyNumberFormat="1" applyFont="1" applyFill="1" applyBorder="1" applyAlignment="1" applyProtection="1">
      <alignment vertical="center" wrapText="1"/>
    </xf>
    <xf numFmtId="167" fontId="18" fillId="41" borderId="102" xfId="0" applyNumberFormat="1" applyFont="1" applyFill="1" applyBorder="1" applyAlignment="1" applyProtection="1">
      <alignment vertical="center" wrapText="1"/>
    </xf>
    <xf numFmtId="167" fontId="18" fillId="41" borderId="103" xfId="0" applyNumberFormat="1" applyFont="1" applyFill="1" applyBorder="1" applyAlignment="1" applyProtection="1">
      <alignment vertical="center" wrapText="1"/>
    </xf>
    <xf numFmtId="0" fontId="18" fillId="0" borderId="24" xfId="0" applyNumberFormat="1" applyFont="1" applyFill="1" applyBorder="1" applyAlignment="1" applyProtection="1">
      <alignment vertical="center" wrapText="1"/>
    </xf>
    <xf numFmtId="0" fontId="68" fillId="0" borderId="31" xfId="0" applyNumberFormat="1" applyFont="1" applyFill="1" applyBorder="1" applyAlignment="1" applyProtection="1">
      <alignment horizontal="center" vertical="center"/>
    </xf>
    <xf numFmtId="167" fontId="68" fillId="0" borderId="31" xfId="0" applyNumberFormat="1" applyFont="1" applyFill="1" applyBorder="1" applyAlignment="1" applyProtection="1">
      <alignment horizontal="center" vertical="center" wrapText="1"/>
    </xf>
    <xf numFmtId="167" fontId="68" fillId="0" borderId="31" xfId="0" applyNumberFormat="1" applyFont="1" applyFill="1" applyBorder="1" applyAlignment="1" applyProtection="1">
      <alignment horizontal="right" vertical="center" wrapText="1"/>
    </xf>
    <xf numFmtId="167" fontId="18" fillId="0" borderId="31" xfId="0" applyNumberFormat="1" applyFont="1" applyFill="1" applyBorder="1" applyAlignment="1" applyProtection="1">
      <alignment horizontal="center" vertical="center" wrapText="1"/>
    </xf>
    <xf numFmtId="167" fontId="18" fillId="0" borderId="26"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wrapText="1"/>
    </xf>
    <xf numFmtId="167" fontId="68" fillId="0" borderId="0" xfId="0" applyNumberFormat="1" applyFont="1" applyFill="1" applyBorder="1" applyAlignment="1" applyProtection="1">
      <alignment horizontal="right" vertical="center" wrapText="1"/>
    </xf>
    <xf numFmtId="167" fontId="18" fillId="0" borderId="0" xfId="0" applyNumberFormat="1" applyFont="1" applyFill="1" applyBorder="1" applyAlignment="1" applyProtection="1">
      <alignment horizontal="center" vertical="center" wrapText="1"/>
    </xf>
    <xf numFmtId="167" fontId="18" fillId="0" borderId="11"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vertical="center"/>
    </xf>
    <xf numFmtId="0" fontId="93" fillId="0" borderId="10" xfId="0"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11" xfId="0" applyNumberFormat="1" applyFont="1" applyFill="1" applyBorder="1" applyAlignment="1" applyProtection="1">
      <alignment vertical="center"/>
    </xf>
    <xf numFmtId="0" fontId="68" fillId="41" borderId="124" xfId="0" applyNumberFormat="1" applyFont="1" applyFill="1" applyBorder="1" applyAlignment="1" applyProtection="1">
      <alignment horizontal="center" vertical="center" wrapText="1"/>
    </xf>
    <xf numFmtId="167" fontId="18" fillId="0" borderId="104" xfId="0" applyNumberFormat="1" applyFont="1" applyFill="1" applyBorder="1" applyAlignment="1" applyProtection="1">
      <alignment horizontal="center" vertical="center" wrapText="1"/>
    </xf>
    <xf numFmtId="167" fontId="18" fillId="0" borderId="105" xfId="0" quotePrefix="1" applyNumberFormat="1" applyFont="1" applyFill="1" applyBorder="1" applyAlignment="1" applyProtection="1">
      <alignment horizontal="center" vertical="center" wrapText="1"/>
    </xf>
    <xf numFmtId="167" fontId="68" fillId="0" borderId="124" xfId="0" applyNumberFormat="1" applyFont="1" applyFill="1" applyBorder="1" applyAlignment="1" applyProtection="1">
      <alignment horizontal="center" vertical="center" wrapText="1"/>
    </xf>
    <xf numFmtId="167" fontId="18" fillId="0" borderId="124" xfId="0" applyNumberFormat="1" applyFont="1" applyFill="1" applyBorder="1" applyAlignment="1" applyProtection="1">
      <alignment horizontal="center" vertical="center" wrapText="1"/>
    </xf>
    <xf numFmtId="167" fontId="32" fillId="0" borderId="0" xfId="0" applyNumberFormat="1" applyFont="1" applyFill="1" applyBorder="1" applyAlignment="1" applyProtection="1"/>
    <xf numFmtId="167" fontId="18" fillId="0" borderId="118" xfId="0" quotePrefix="1" applyNumberFormat="1" applyFont="1" applyFill="1" applyBorder="1" applyAlignment="1" applyProtection="1">
      <alignment horizontal="center" vertical="center" wrapText="1"/>
    </xf>
    <xf numFmtId="167" fontId="18" fillId="0" borderId="108"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xf numFmtId="0" fontId="68" fillId="0" borderId="124" xfId="0" applyNumberFormat="1" applyFont="1" applyFill="1" applyBorder="1" applyAlignment="1" applyProtection="1">
      <alignment horizontal="right" vertical="center" wrapText="1"/>
    </xf>
    <xf numFmtId="167" fontId="68" fillId="41" borderId="124" xfId="0" applyNumberFormat="1" applyFont="1" applyFill="1" applyBorder="1" applyAlignment="1" applyProtection="1">
      <alignment horizontal="right" vertical="center" wrapText="1"/>
    </xf>
    <xf numFmtId="167" fontId="68" fillId="0" borderId="124" xfId="0" applyNumberFormat="1" applyFont="1" applyFill="1" applyBorder="1" applyAlignment="1" applyProtection="1">
      <alignment horizontal="right" vertical="center" wrapText="1"/>
    </xf>
    <xf numFmtId="167" fontId="68" fillId="41" borderId="124" xfId="0" applyNumberFormat="1" applyFont="1" applyFill="1" applyBorder="1" applyAlignment="1" applyProtection="1">
      <alignment vertical="center" wrapText="1"/>
    </xf>
    <xf numFmtId="167" fontId="68" fillId="41" borderId="17"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right" vertical="center" wrapText="1"/>
    </xf>
    <xf numFmtId="167" fontId="68" fillId="0" borderId="11" xfId="0" applyNumberFormat="1" applyFont="1" applyFill="1" applyBorder="1" applyAlignment="1" applyProtection="1">
      <alignment horizontal="center" vertical="center" wrapText="1"/>
    </xf>
    <xf numFmtId="0" fontId="68" fillId="41" borderId="39" xfId="0" applyNumberFormat="1" applyFont="1" applyFill="1" applyBorder="1" applyAlignment="1" applyProtection="1">
      <alignment horizontal="right" vertical="center" wrapText="1"/>
    </xf>
    <xf numFmtId="2" fontId="68" fillId="41" borderId="39" xfId="0" applyNumberFormat="1" applyFont="1" applyFill="1" applyBorder="1" applyAlignment="1" applyProtection="1">
      <alignment horizontal="center" vertical="center" wrapText="1"/>
    </xf>
    <xf numFmtId="0" fontId="18" fillId="0" borderId="115" xfId="0" applyNumberFormat="1" applyFont="1" applyFill="1" applyBorder="1" applyAlignment="1" applyProtection="1">
      <alignment horizontal="center" vertical="center" wrapText="1"/>
    </xf>
    <xf numFmtId="0" fontId="18" fillId="0" borderId="113" xfId="0" applyNumberFormat="1" applyFont="1" applyFill="1" applyBorder="1" applyAlignment="1" applyProtection="1">
      <alignment horizontal="center" vertical="center" wrapText="1"/>
    </xf>
    <xf numFmtId="0" fontId="68" fillId="0" borderId="113" xfId="0" applyNumberFormat="1" applyFont="1" applyFill="1" applyBorder="1" applyAlignment="1" applyProtection="1">
      <alignment horizontal="right" vertical="center" wrapText="1"/>
    </xf>
    <xf numFmtId="2" fontId="68" fillId="0" borderId="113" xfId="0" applyNumberFormat="1" applyFont="1" applyFill="1" applyBorder="1" applyAlignment="1" applyProtection="1">
      <alignment horizontal="center" vertical="center" wrapText="1"/>
    </xf>
    <xf numFmtId="167" fontId="68" fillId="0" borderId="113" xfId="0" applyNumberFormat="1" applyFont="1" applyFill="1" applyBorder="1" applyAlignment="1" applyProtection="1">
      <alignment horizontal="center" vertical="center" wrapText="1"/>
    </xf>
    <xf numFmtId="167" fontId="68" fillId="0" borderId="114" xfId="0" applyNumberFormat="1" applyFont="1" applyFill="1" applyBorder="1" applyAlignment="1" applyProtection="1">
      <alignment horizontal="center" vertical="center" wrapText="1"/>
    </xf>
    <xf numFmtId="0" fontId="18" fillId="0" borderId="104" xfId="0" applyNumberFormat="1" applyFont="1" applyFill="1" applyBorder="1" applyAlignment="1" applyProtection="1">
      <alignment horizontal="center" vertical="center" wrapText="1"/>
    </xf>
    <xf numFmtId="0" fontId="18" fillId="0" borderId="105" xfId="0" applyNumberFormat="1" applyFont="1" applyFill="1" applyBorder="1" applyAlignment="1" applyProtection="1">
      <alignment horizontal="center" vertical="center" wrapText="1"/>
    </xf>
    <xf numFmtId="2" fontId="18" fillId="0" borderId="123" xfId="0" applyNumberFormat="1" applyFont="1" applyFill="1" applyBorder="1" applyAlignment="1" applyProtection="1">
      <alignment horizontal="center" vertical="center" wrapText="1"/>
    </xf>
    <xf numFmtId="0" fontId="18" fillId="0" borderId="119" xfId="0" applyNumberFormat="1" applyFont="1" applyFill="1" applyBorder="1" applyAlignment="1" applyProtection="1">
      <alignment vertical="center" wrapText="1"/>
    </xf>
    <xf numFmtId="0" fontId="18" fillId="0" borderId="102" xfId="0" applyNumberFormat="1" applyFont="1" applyFill="1" applyBorder="1" applyAlignment="1" applyProtection="1">
      <alignment vertical="center" wrapText="1"/>
    </xf>
    <xf numFmtId="0" fontId="18" fillId="0" borderId="103" xfId="0" applyNumberFormat="1" applyFont="1" applyFill="1" applyBorder="1" applyAlignment="1" applyProtection="1">
      <alignment vertical="center" wrapText="1"/>
    </xf>
    <xf numFmtId="0" fontId="68" fillId="0" borderId="24" xfId="0" applyNumberFormat="1" applyFont="1" applyFill="1" applyBorder="1" applyAlignment="1" applyProtection="1">
      <alignment vertical="center" wrapText="1"/>
    </xf>
    <xf numFmtId="0" fontId="68" fillId="0" borderId="31" xfId="0" applyNumberFormat="1" applyFont="1" applyFill="1" applyBorder="1" applyAlignment="1" applyProtection="1">
      <alignment vertical="center" wrapText="1"/>
    </xf>
    <xf numFmtId="0" fontId="68" fillId="0" borderId="31" xfId="0" applyNumberFormat="1" applyFont="1" applyFill="1" applyBorder="1" applyAlignment="1" applyProtection="1">
      <alignment horizontal="right" vertical="center" wrapText="1"/>
    </xf>
    <xf numFmtId="167" fontId="68" fillId="0" borderId="26" xfId="0" applyNumberFormat="1" applyFont="1" applyFill="1" applyBorder="1" applyAlignment="1" applyProtection="1">
      <alignment horizontal="center" vertical="center" wrapText="1"/>
    </xf>
    <xf numFmtId="0" fontId="18" fillId="0" borderId="125" xfId="0" applyNumberFormat="1" applyFont="1" applyFill="1" applyBorder="1" applyAlignment="1" applyProtection="1">
      <alignment horizontal="center" vertical="center" wrapText="1"/>
    </xf>
    <xf numFmtId="0" fontId="18" fillId="0" borderId="58"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xf numFmtId="167" fontId="68" fillId="0" borderId="10" xfId="0" applyNumberFormat="1" applyFont="1" applyFill="1" applyBorder="1" applyAlignment="1" applyProtection="1">
      <alignment horizontal="center" vertical="center" wrapText="1"/>
    </xf>
    <xf numFmtId="167" fontId="18" fillId="0" borderId="123" xfId="0" applyNumberFormat="1" applyFont="1" applyFill="1" applyBorder="1" applyAlignment="1" applyProtection="1">
      <alignment horizontal="center" vertical="center" wrapText="1"/>
    </xf>
    <xf numFmtId="167" fontId="18" fillId="0" borderId="119" xfId="0" applyNumberFormat="1" applyFont="1" applyFill="1" applyBorder="1" applyAlignment="1" applyProtection="1">
      <alignment horizontal="center" vertical="center" wrapText="1"/>
    </xf>
    <xf numFmtId="167" fontId="18" fillId="41" borderId="69" xfId="0" applyNumberFormat="1" applyFont="1" applyFill="1" applyBorder="1" applyAlignment="1" applyProtection="1">
      <alignment horizontal="center" vertical="center" wrapText="1"/>
    </xf>
    <xf numFmtId="167" fontId="18" fillId="41" borderId="111" xfId="0" applyNumberFormat="1" applyFont="1" applyFill="1" applyBorder="1" applyAlignment="1" applyProtection="1">
      <alignment horizontal="center" vertical="center" wrapText="1"/>
    </xf>
    <xf numFmtId="167" fontId="68" fillId="41" borderId="111" xfId="0" quotePrefix="1" applyNumberFormat="1" applyFont="1" applyFill="1" applyBorder="1" applyAlignment="1" applyProtection="1">
      <alignment horizontal="center" vertical="center" wrapText="1"/>
    </xf>
    <xf numFmtId="167" fontId="68" fillId="41" borderId="111"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right" vertical="center" wrapText="1"/>
    </xf>
    <xf numFmtId="0" fontId="68" fillId="0" borderId="31" xfId="0" applyNumberFormat="1" applyFont="1" applyFill="1" applyBorder="1" applyAlignment="1" applyProtection="1">
      <alignment horizontal="left" vertical="center"/>
    </xf>
    <xf numFmtId="0" fontId="68" fillId="0" borderId="26" xfId="0" applyNumberFormat="1" applyFont="1" applyFill="1" applyBorder="1" applyAlignment="1" applyProtection="1">
      <alignment horizontal="left" vertical="center"/>
    </xf>
    <xf numFmtId="0" fontId="68" fillId="0"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horizontal="left" vertical="center" wrapText="1"/>
    </xf>
    <xf numFmtId="167" fontId="18" fillId="0" borderId="105" xfId="0" applyNumberFormat="1" applyFont="1" applyFill="1" applyBorder="1" applyAlignment="1" applyProtection="1">
      <alignment horizontal="right" vertical="center" wrapText="1"/>
    </xf>
    <xf numFmtId="0" fontId="18" fillId="0" borderId="119" xfId="0" applyNumberFormat="1" applyFont="1" applyFill="1" applyBorder="1" applyAlignment="1" applyProtection="1">
      <alignment horizontal="center" vertical="center" wrapText="1"/>
    </xf>
    <xf numFmtId="0" fontId="18" fillId="41" borderId="37" xfId="0" applyNumberFormat="1" applyFont="1" applyFill="1" applyBorder="1" applyAlignment="1" applyProtection="1">
      <alignment vertical="center" wrapText="1"/>
    </xf>
    <xf numFmtId="0" fontId="18" fillId="41" borderId="54" xfId="0" applyNumberFormat="1" applyFont="1" applyFill="1" applyBorder="1" applyAlignment="1" applyProtection="1">
      <alignment vertical="center" wrapText="1"/>
    </xf>
    <xf numFmtId="2" fontId="18" fillId="0" borderId="21" xfId="0" applyNumberFormat="1" applyFont="1" applyFill="1" applyBorder="1" applyAlignment="1" applyProtection="1">
      <alignment horizontal="center" vertical="center" wrapText="1"/>
    </xf>
    <xf numFmtId="2" fontId="18" fillId="0" borderId="12" xfId="0" applyNumberFormat="1" applyFont="1" applyFill="1" applyBorder="1" applyAlignment="1" applyProtection="1">
      <alignment horizontal="center" vertical="center" wrapText="1"/>
    </xf>
    <xf numFmtId="2" fontId="18" fillId="0" borderId="39" xfId="0" applyNumberFormat="1" applyFont="1" applyFill="1" applyBorder="1" applyAlignment="1" applyProtection="1">
      <alignment vertical="center" wrapText="1"/>
    </xf>
    <xf numFmtId="0" fontId="68" fillId="41" borderId="37" xfId="0" applyNumberFormat="1" applyFont="1" applyFill="1" applyBorder="1" applyAlignment="1" applyProtection="1">
      <alignment vertical="center" wrapText="1"/>
    </xf>
    <xf numFmtId="0" fontId="68" fillId="41" borderId="54" xfId="0" applyNumberFormat="1" applyFont="1" applyFill="1" applyBorder="1" applyAlignment="1" applyProtection="1">
      <alignment vertical="center" wrapText="1"/>
    </xf>
    <xf numFmtId="167" fontId="18" fillId="0" borderId="106" xfId="0" applyNumberFormat="1" applyFont="1" applyFill="1" applyBorder="1" applyAlignment="1" applyProtection="1">
      <alignment horizontal="center" vertical="center" wrapText="1"/>
    </xf>
    <xf numFmtId="167" fontId="18" fillId="0" borderId="127" xfId="0" quotePrefix="1" applyNumberFormat="1" applyFont="1" applyFill="1" applyBorder="1" applyAlignment="1" applyProtection="1">
      <alignment horizontal="center" vertical="center" wrapText="1"/>
    </xf>
    <xf numFmtId="167" fontId="18" fillId="0" borderId="126" xfId="0" applyNumberFormat="1" applyFont="1" applyFill="1" applyBorder="1" applyAlignment="1" applyProtection="1">
      <alignment horizontal="center" vertical="center" wrapText="1"/>
    </xf>
    <xf numFmtId="167" fontId="18" fillId="0" borderId="123" xfId="0" quotePrefix="1" applyNumberFormat="1" applyFont="1" applyFill="1" applyBorder="1" applyAlignment="1" applyProtection="1">
      <alignment horizontal="center" vertical="center" wrapText="1"/>
    </xf>
    <xf numFmtId="167" fontId="68" fillId="0" borderId="128"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xf numFmtId="167" fontId="68" fillId="41" borderId="124" xfId="0" applyNumberFormat="1" applyFont="1" applyFill="1" applyBorder="1" applyAlignment="1" applyProtection="1">
      <alignment horizontal="center" vertical="center" wrapText="1"/>
    </xf>
    <xf numFmtId="0" fontId="68" fillId="0" borderId="124" xfId="0" applyNumberFormat="1" applyFont="1" applyFill="1" applyBorder="1" applyAlignment="1" applyProtection="1">
      <alignment vertical="center" wrapText="1"/>
    </xf>
    <xf numFmtId="167" fontId="51" fillId="0" borderId="0" xfId="0" applyNumberFormat="1" applyFont="1" applyFill="1" applyBorder="1" applyAlignment="1" applyProtection="1"/>
    <xf numFmtId="0" fontId="68" fillId="35" borderId="33" xfId="0" applyNumberFormat="1" applyFont="1" applyFill="1" applyBorder="1" applyAlignment="1" applyProtection="1">
      <alignment horizontal="right" vertical="center" wrapText="1"/>
    </xf>
    <xf numFmtId="0" fontId="94" fillId="0" borderId="0" xfId="0" applyNumberFormat="1" applyFont="1" applyFill="1" applyBorder="1" applyAlignment="1" applyProtection="1">
      <alignment horizontal="center" vertical="center"/>
    </xf>
    <xf numFmtId="167" fontId="18" fillId="42" borderId="104" xfId="0" quotePrefix="1" applyNumberFormat="1" applyFont="1" applyFill="1" applyBorder="1" applyAlignment="1" applyProtection="1">
      <alignment horizontal="center" vertical="center" wrapText="1"/>
    </xf>
    <xf numFmtId="167" fontId="18" fillId="42" borderId="105" xfId="0" applyNumberFormat="1" applyFont="1" applyFill="1" applyBorder="1" applyAlignment="1" applyProtection="1">
      <alignment horizontal="center" vertical="center" wrapText="1"/>
    </xf>
    <xf numFmtId="167" fontId="68" fillId="42" borderId="124" xfId="0" applyNumberFormat="1" applyFont="1" applyFill="1" applyBorder="1" applyAlignment="1" applyProtection="1">
      <alignment horizontal="center" vertical="center" wrapText="1"/>
    </xf>
    <xf numFmtId="167" fontId="18" fillId="42" borderId="106" xfId="0" applyNumberFormat="1" applyFont="1" applyFill="1" applyBorder="1" applyAlignment="1" applyProtection="1">
      <alignment horizontal="center" vertical="center" wrapText="1"/>
    </xf>
    <xf numFmtId="167" fontId="18" fillId="42" borderId="105" xfId="0" quotePrefix="1" applyNumberFormat="1" applyFont="1" applyFill="1" applyBorder="1" applyAlignment="1" applyProtection="1">
      <alignment horizontal="center" vertical="center" wrapText="1"/>
    </xf>
    <xf numFmtId="167" fontId="18" fillId="42" borderId="127" xfId="0" quotePrefix="1" applyNumberFormat="1" applyFont="1" applyFill="1" applyBorder="1" applyAlignment="1" applyProtection="1">
      <alignment horizontal="center" vertical="center" wrapText="1"/>
    </xf>
    <xf numFmtId="167" fontId="18" fillId="42" borderId="126" xfId="0" applyNumberFormat="1" applyFont="1" applyFill="1" applyBorder="1" applyAlignment="1" applyProtection="1">
      <alignment horizontal="center" vertical="center" wrapText="1"/>
    </xf>
    <xf numFmtId="167" fontId="18" fillId="42" borderId="123" xfId="0" applyNumberFormat="1" applyFont="1" applyFill="1" applyBorder="1" applyAlignment="1" applyProtection="1">
      <alignment horizontal="center" vertical="center" wrapText="1"/>
    </xf>
    <xf numFmtId="167" fontId="18" fillId="42" borderId="123" xfId="0" quotePrefix="1" applyNumberFormat="1" applyFont="1" applyFill="1" applyBorder="1" applyAlignment="1" applyProtection="1">
      <alignment horizontal="center" vertical="center" wrapText="1"/>
    </xf>
    <xf numFmtId="167" fontId="68" fillId="42" borderId="128" xfId="0" applyNumberFormat="1" applyFont="1" applyFill="1" applyBorder="1" applyAlignment="1" applyProtection="1">
      <alignment horizontal="center" vertical="center" wrapText="1"/>
    </xf>
    <xf numFmtId="167" fontId="18" fillId="42" borderId="108"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xf numFmtId="0" fontId="68" fillId="42" borderId="124" xfId="0" applyNumberFormat="1" applyFont="1" applyFill="1" applyBorder="1" applyAlignment="1" applyProtection="1">
      <alignment vertical="center" wrapText="1"/>
    </xf>
    <xf numFmtId="0" fontId="68" fillId="0" borderId="50"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68" fillId="0" borderId="51" xfId="0" applyNumberFormat="1" applyFont="1" applyFill="1" applyBorder="1" applyAlignment="1" applyProtection="1">
      <alignment horizontal="center" vertical="center" wrapText="1"/>
    </xf>
    <xf numFmtId="167" fontId="68" fillId="41" borderId="17"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xf numFmtId="167" fontId="68" fillId="41" borderId="125" xfId="0" applyNumberFormat="1" applyFont="1" applyFill="1" applyBorder="1" applyAlignment="1" applyProtection="1">
      <alignment horizontal="right" vertical="center" wrapText="1"/>
    </xf>
    <xf numFmtId="167" fontId="68" fillId="41" borderId="102" xfId="0" applyNumberFormat="1" applyFont="1" applyFill="1" applyBorder="1" applyAlignment="1" applyProtection="1">
      <alignment horizontal="right" vertical="center" wrapText="1"/>
    </xf>
    <xf numFmtId="167" fontId="68" fillId="41" borderId="103"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vertical="center" wrapText="1"/>
    </xf>
    <xf numFmtId="0" fontId="68" fillId="0" borderId="113" xfId="0" applyNumberFormat="1" applyFont="1" applyFill="1" applyBorder="1" applyAlignment="1" applyProtection="1">
      <alignment vertical="center" wrapText="1"/>
    </xf>
    <xf numFmtId="167" fontId="68" fillId="0" borderId="114" xfId="0" applyNumberFormat="1" applyFont="1" applyFill="1" applyBorder="1" applyAlignment="1" applyProtection="1">
      <alignment horizontal="right" vertical="center" wrapText="1"/>
    </xf>
    <xf numFmtId="0" fontId="98" fillId="0" borderId="0" xfId="0" applyNumberFormat="1" applyFont="1" applyFill="1" applyBorder="1" applyAlignment="1" applyProtection="1"/>
    <xf numFmtId="167" fontId="18" fillId="0" borderId="115" xfId="0" applyNumberFormat="1" applyFont="1" applyFill="1" applyBorder="1" applyAlignment="1" applyProtection="1">
      <alignment horizontal="center" vertical="center" wrapText="1"/>
    </xf>
    <xf numFmtId="167" fontId="18" fillId="0" borderId="113" xfId="0" applyNumberFormat="1" applyFont="1" applyFill="1" applyBorder="1" applyAlignment="1" applyProtection="1">
      <alignment horizontal="center" vertical="center" wrapText="1"/>
    </xf>
    <xf numFmtId="167" fontId="18" fillId="0" borderId="114" xfId="0" applyNumberFormat="1" applyFont="1" applyFill="1" applyBorder="1" applyAlignment="1" applyProtection="1">
      <alignment horizontal="center" vertical="center" wrapText="1"/>
    </xf>
    <xf numFmtId="167" fontId="68" fillId="41" borderId="12" xfId="0" applyNumberFormat="1" applyFont="1" applyFill="1" applyBorder="1" applyAlignment="1" applyProtection="1">
      <alignment horizontal="right" vertical="center" wrapText="1"/>
    </xf>
    <xf numFmtId="0" fontId="68" fillId="0" borderId="26" xfId="0" applyNumberFormat="1" applyFont="1" applyFill="1" applyBorder="1" applyAlignment="1" applyProtection="1">
      <alignment vertical="center" wrapText="1"/>
    </xf>
    <xf numFmtId="167" fontId="68" fillId="0" borderId="11" xfId="0" applyNumberFormat="1" applyFont="1" applyFill="1" applyBorder="1" applyAlignment="1" applyProtection="1">
      <alignment horizontal="right" vertical="center" wrapText="1"/>
    </xf>
    <xf numFmtId="0" fontId="68" fillId="0" borderId="10" xfId="0" applyNumberFormat="1" applyFont="1" applyFill="1" applyBorder="1" applyAlignment="1" applyProtection="1">
      <alignment horizontal="right" vertical="center" wrapText="1"/>
    </xf>
    <xf numFmtId="0" fontId="68" fillId="0" borderId="11" xfId="0" applyNumberFormat="1" applyFont="1" applyFill="1" applyBorder="1" applyAlignment="1" applyProtection="1">
      <alignment horizontal="center" vertical="center" wrapText="1"/>
    </xf>
    <xf numFmtId="0" fontId="68" fillId="41" borderId="111" xfId="0" applyNumberFormat="1" applyFont="1" applyFill="1" applyBorder="1" applyAlignment="1" applyProtection="1">
      <alignment vertical="center" wrapText="1"/>
    </xf>
    <xf numFmtId="167" fontId="68" fillId="41" borderId="102" xfId="0" quotePrefix="1" applyNumberFormat="1" applyFont="1" applyFill="1" applyBorder="1" applyAlignment="1" applyProtection="1">
      <alignment horizontal="right" vertical="center" wrapText="1"/>
    </xf>
    <xf numFmtId="167" fontId="68" fillId="41" borderId="111" xfId="0" quotePrefix="1" applyNumberFormat="1" applyFont="1" applyFill="1" applyBorder="1" applyAlignment="1" applyProtection="1">
      <alignment horizontal="right" vertical="center" wrapText="1"/>
    </xf>
    <xf numFmtId="2" fontId="18" fillId="0" borderId="125" xfId="0" applyNumberFormat="1" applyFont="1" applyFill="1" applyBorder="1" applyAlignment="1" applyProtection="1">
      <alignment horizontal="center" vertical="center" wrapText="1"/>
    </xf>
    <xf numFmtId="2" fontId="18" fillId="0" borderId="102" xfId="0" applyNumberFormat="1" applyFont="1" applyFill="1" applyBorder="1" applyAlignment="1" applyProtection="1">
      <alignment horizontal="center" vertical="center" wrapText="1"/>
    </xf>
    <xf numFmtId="2" fontId="18" fillId="0" borderId="103"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horizontal="center" vertical="center" wrapText="1"/>
    </xf>
    <xf numFmtId="167" fontId="68" fillId="0" borderId="31" xfId="0" applyNumberFormat="1" applyFont="1" applyFill="1" applyBorder="1" applyAlignment="1" applyProtection="1">
      <alignment horizontal="justify" vertical="center" wrapText="1"/>
    </xf>
    <xf numFmtId="167" fontId="68" fillId="0" borderId="26" xfId="0" applyNumberFormat="1" applyFont="1" applyFill="1" applyBorder="1" applyAlignment="1" applyProtection="1">
      <alignment horizontal="justify" vertical="center" wrapText="1"/>
    </xf>
    <xf numFmtId="167" fontId="18" fillId="0" borderId="10" xfId="0" applyNumberFormat="1" applyFont="1" applyFill="1" applyBorder="1" applyAlignment="1" applyProtection="1">
      <alignment horizontal="center" vertical="center" wrapText="1"/>
    </xf>
    <xf numFmtId="167" fontId="68" fillId="41" borderId="39" xfId="0" applyNumberFormat="1" applyFont="1" applyFill="1" applyBorder="1" applyAlignment="1" applyProtection="1">
      <alignment horizontal="center" vertical="center" wrapText="1"/>
    </xf>
    <xf numFmtId="0" fontId="68" fillId="41" borderId="104" xfId="0" applyNumberFormat="1" applyFont="1" applyFill="1" applyBorder="1" applyAlignment="1" applyProtection="1">
      <alignment horizontal="center" vertical="center"/>
    </xf>
    <xf numFmtId="0" fontId="68" fillId="41" borderId="105" xfId="0" applyNumberFormat="1" applyFont="1" applyFill="1" applyBorder="1" applyAlignment="1" applyProtection="1">
      <alignment horizontal="center" vertical="center"/>
    </xf>
    <xf numFmtId="0" fontId="18" fillId="0" borderId="104" xfId="0" applyNumberFormat="1" applyFont="1" applyFill="1" applyBorder="1" applyAlignment="1" applyProtection="1">
      <alignment horizontal="center" vertical="center"/>
    </xf>
    <xf numFmtId="0" fontId="18" fillId="0" borderId="105" xfId="0" applyNumberFormat="1" applyFont="1" applyFill="1" applyBorder="1" applyAlignment="1" applyProtection="1">
      <alignment horizontal="center" vertical="center"/>
    </xf>
    <xf numFmtId="0" fontId="68" fillId="41" borderId="69" xfId="0" quotePrefix="1" applyNumberFormat="1" applyFont="1" applyFill="1" applyBorder="1" applyAlignment="1" applyProtection="1">
      <alignment horizontal="right" vertical="center" wrapText="1"/>
    </xf>
    <xf numFmtId="0" fontId="18" fillId="0" borderId="58"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18" fillId="0" borderId="58" xfId="0" applyNumberFormat="1" applyFont="1" applyFill="1" applyBorder="1" applyAlignment="1" applyProtection="1">
      <alignment vertical="center"/>
    </xf>
    <xf numFmtId="0" fontId="99" fillId="41" borderId="108" xfId="0" applyNumberFormat="1" applyFont="1" applyFill="1" applyBorder="1" applyAlignment="1" applyProtection="1">
      <alignment vertical="center"/>
    </xf>
    <xf numFmtId="0" fontId="99" fillId="41" borderId="109" xfId="0" applyNumberFormat="1" applyFont="1" applyFill="1" applyBorder="1" applyAlignment="1" applyProtection="1">
      <alignment vertical="center"/>
    </xf>
    <xf numFmtId="0" fontId="68" fillId="41" borderId="107" xfId="0" applyNumberFormat="1" applyFont="1" applyFill="1" applyBorder="1" applyAlignment="1" applyProtection="1">
      <alignment horizontal="center" vertical="center"/>
    </xf>
    <xf numFmtId="0" fontId="18" fillId="0" borderId="107" xfId="0" applyNumberFormat="1" applyFont="1" applyFill="1" applyBorder="1" applyAlignment="1" applyProtection="1">
      <alignment horizontal="center" vertical="center"/>
    </xf>
    <xf numFmtId="0" fontId="18" fillId="0" borderId="102" xfId="0" applyNumberFormat="1" applyFont="1" applyFill="1" applyBorder="1" applyAlignment="1" applyProtection="1">
      <alignment vertical="center"/>
    </xf>
    <xf numFmtId="0" fontId="18" fillId="0" borderId="103" xfId="0" applyNumberFormat="1" applyFont="1" applyFill="1" applyBorder="1" applyAlignment="1" applyProtection="1">
      <alignment vertical="center"/>
    </xf>
    <xf numFmtId="0" fontId="18" fillId="0" borderId="119" xfId="0" applyNumberFormat="1" applyFont="1" applyFill="1" applyBorder="1" applyAlignment="1" applyProtection="1">
      <alignment horizontal="center" vertical="center"/>
    </xf>
    <xf numFmtId="0" fontId="18" fillId="0" borderId="125" xfId="0" applyNumberFormat="1" applyFont="1" applyFill="1" applyBorder="1" applyAlignment="1" applyProtection="1">
      <alignment horizontal="center" vertical="center"/>
    </xf>
    <xf numFmtId="0" fontId="18" fillId="0" borderId="24" xfId="0" applyNumberFormat="1" applyFont="1" applyFill="1" applyBorder="1" applyAlignment="1" applyProtection="1">
      <alignment vertical="center"/>
    </xf>
    <xf numFmtId="0" fontId="18" fillId="0" borderId="31" xfId="0" applyNumberFormat="1" applyFont="1" applyFill="1" applyBorder="1" applyAlignment="1" applyProtection="1">
      <alignment vertical="center"/>
    </xf>
    <xf numFmtId="0" fontId="18" fillId="0" borderId="119" xfId="0" applyNumberFormat="1" applyFont="1" applyFill="1" applyBorder="1" applyAlignment="1" applyProtection="1">
      <alignment vertical="center"/>
    </xf>
    <xf numFmtId="0" fontId="18" fillId="0" borderId="123" xfId="0" applyNumberFormat="1" applyFont="1" applyFill="1" applyBorder="1" applyAlignment="1" applyProtection="1">
      <alignment horizontal="center" vertical="center"/>
    </xf>
    <xf numFmtId="0" fontId="18" fillId="0" borderId="26" xfId="0" applyNumberFormat="1" applyFont="1" applyFill="1" applyBorder="1" applyAlignment="1" applyProtection="1">
      <alignment vertical="center"/>
    </xf>
    <xf numFmtId="0" fontId="68" fillId="41" borderId="107" xfId="0" applyNumberFormat="1" applyFont="1" applyFill="1" applyBorder="1" applyAlignment="1" applyProtection="1">
      <alignment vertical="center"/>
    </xf>
    <xf numFmtId="0" fontId="68" fillId="41" borderId="108" xfId="0" applyNumberFormat="1" applyFont="1" applyFill="1" applyBorder="1" applyAlignment="1" applyProtection="1">
      <alignment vertical="center"/>
    </xf>
    <xf numFmtId="2" fontId="18" fillId="0" borderId="105" xfId="0" applyNumberFormat="1" applyFont="1" applyFill="1" applyBorder="1" applyAlignment="1" applyProtection="1">
      <alignment horizontal="center" vertical="center"/>
    </xf>
    <xf numFmtId="0" fontId="68" fillId="41" borderId="104" xfId="0" quotePrefix="1" applyNumberFormat="1" applyFont="1" applyFill="1" applyBorder="1" applyAlignment="1" applyProtection="1">
      <alignment horizontal="right" vertical="center" wrapText="1"/>
    </xf>
    <xf numFmtId="167" fontId="68" fillId="41" borderId="105" xfId="0" applyNumberFormat="1" applyFont="1" applyFill="1" applyBorder="1" applyAlignment="1" applyProtection="1">
      <alignment horizontal="center" vertical="center" wrapText="1"/>
    </xf>
    <xf numFmtId="0" fontId="68" fillId="0" borderId="105" xfId="0" applyNumberFormat="1" applyFont="1" applyFill="1" applyBorder="1" applyAlignment="1" applyProtection="1">
      <alignment horizontal="center" vertical="center" wrapText="1"/>
    </xf>
    <xf numFmtId="167" fontId="68" fillId="41" borderId="37" xfId="0" applyNumberFormat="1" applyFont="1" applyFill="1" applyBorder="1" applyAlignment="1" applyProtection="1">
      <alignment horizontal="right" vertical="center" wrapText="1"/>
    </xf>
    <xf numFmtId="0" fontId="68" fillId="0" borderId="115" xfId="0" applyNumberFormat="1" applyFont="1" applyFill="1" applyBorder="1" applyAlignment="1" applyProtection="1">
      <alignment horizontal="right" vertical="center" wrapText="1"/>
    </xf>
    <xf numFmtId="0" fontId="68" fillId="0" borderId="113" xfId="0" applyNumberFormat="1"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xf>
    <xf numFmtId="0" fontId="68" fillId="0" borderId="104" xfId="0" applyNumberFormat="1" applyFont="1" applyFill="1" applyBorder="1" applyAlignment="1" applyProtection="1">
      <alignment horizontal="center" vertical="center" wrapText="1"/>
    </xf>
    <xf numFmtId="0" fontId="68" fillId="41" borderId="21" xfId="0" applyNumberFormat="1" applyFont="1" applyFill="1" applyBorder="1" applyAlignment="1" applyProtection="1">
      <alignment horizontal="right" vertical="center" wrapText="1"/>
    </xf>
    <xf numFmtId="167" fontId="18" fillId="41" borderId="37" xfId="0" applyNumberFormat="1" applyFont="1" applyFill="1" applyBorder="1" applyAlignment="1" applyProtection="1">
      <alignment vertical="center" wrapText="1"/>
    </xf>
    <xf numFmtId="167" fontId="18" fillId="41" borderId="54" xfId="0" applyNumberFormat="1" applyFont="1" applyFill="1" applyBorder="1" applyAlignment="1" applyProtection="1">
      <alignment vertical="center" wrapText="1"/>
    </xf>
    <xf numFmtId="2" fontId="68" fillId="0" borderId="0"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vertical="center" wrapText="1"/>
    </xf>
    <xf numFmtId="167" fontId="18" fillId="0" borderId="11" xfId="0" applyNumberFormat="1" applyFont="1" applyFill="1" applyBorder="1" applyAlignment="1" applyProtection="1">
      <alignment vertical="center" wrapText="1"/>
    </xf>
    <xf numFmtId="0" fontId="68" fillId="41" borderId="105" xfId="0" applyNumberFormat="1" applyFont="1" applyFill="1" applyBorder="1" applyAlignment="1" applyProtection="1">
      <alignment horizontal="right" vertical="center"/>
    </xf>
    <xf numFmtId="0" fontId="18" fillId="0" borderId="105" xfId="0" applyNumberFormat="1" applyFont="1" applyFill="1" applyBorder="1" applyAlignment="1" applyProtection="1">
      <alignment vertical="center"/>
    </xf>
    <xf numFmtId="2" fontId="68" fillId="0" borderId="105" xfId="0" applyNumberFormat="1" applyFont="1" applyFill="1" applyBorder="1" applyAlignment="1" applyProtection="1">
      <alignment vertical="center"/>
    </xf>
    <xf numFmtId="2" fontId="68" fillId="41" borderId="12" xfId="0" applyNumberFormat="1" applyFont="1" applyFill="1" applyBorder="1" applyAlignment="1" applyProtection="1">
      <alignment vertical="center"/>
    </xf>
    <xf numFmtId="0" fontId="68" fillId="0" borderId="113" xfId="0" applyNumberFormat="1" applyFont="1" applyFill="1" applyBorder="1" applyAlignment="1" applyProtection="1">
      <alignment vertical="center"/>
    </xf>
    <xf numFmtId="0" fontId="68" fillId="0" borderId="114" xfId="0" applyNumberFormat="1" applyFont="1" applyFill="1" applyBorder="1" applyAlignment="1" applyProtection="1">
      <alignment vertical="center"/>
    </xf>
    <xf numFmtId="0" fontId="68" fillId="41" borderId="113" xfId="0" applyNumberFormat="1" applyFont="1" applyFill="1" applyBorder="1" applyAlignment="1" applyProtection="1">
      <alignment vertical="center"/>
    </xf>
    <xf numFmtId="0" fontId="68" fillId="41" borderId="114" xfId="0" applyNumberFormat="1" applyFont="1" applyFill="1" applyBorder="1" applyAlignment="1" applyProtection="1">
      <alignment vertical="center"/>
    </xf>
    <xf numFmtId="167" fontId="18" fillId="0" borderId="123" xfId="0" applyNumberFormat="1" applyFont="1" applyFill="1" applyBorder="1" applyAlignment="1" applyProtection="1">
      <alignment horizontal="right" vertical="center" wrapText="1"/>
    </xf>
    <xf numFmtId="1" fontId="18" fillId="0" borderId="105" xfId="0" applyNumberFormat="1" applyFont="1" applyFill="1" applyBorder="1" applyAlignment="1" applyProtection="1">
      <alignment horizontal="right" vertical="center" wrapText="1"/>
    </xf>
    <xf numFmtId="0" fontId="68" fillId="41" borderId="69" xfId="0" applyNumberFormat="1" applyFont="1" applyFill="1" applyBorder="1" applyAlignment="1" applyProtection="1">
      <alignment horizontal="right" vertical="center" wrapText="1"/>
    </xf>
    <xf numFmtId="174" fontId="68" fillId="41" borderId="37" xfId="0" applyNumberFormat="1" applyFont="1" applyFill="1" applyBorder="1" applyAlignment="1" applyProtection="1">
      <alignment horizontal="right" vertical="center" wrapText="1"/>
    </xf>
    <xf numFmtId="167" fontId="68" fillId="41" borderId="12" xfId="0" applyNumberFormat="1" applyFont="1" applyFill="1" applyBorder="1" applyAlignment="1" applyProtection="1">
      <alignment vertical="center" wrapText="1"/>
    </xf>
    <xf numFmtId="0" fontId="18" fillId="0" borderId="15" xfId="0" applyNumberFormat="1" applyFont="1" applyFill="1" applyBorder="1" applyAlignment="1" applyProtection="1">
      <alignment horizontal="center" vertical="center" wrapText="1"/>
    </xf>
    <xf numFmtId="1" fontId="18" fillId="0" borderId="55" xfId="0" applyNumberFormat="1" applyFont="1" applyFill="1" applyBorder="1" applyAlignment="1" applyProtection="1">
      <alignment horizontal="center" vertical="center"/>
    </xf>
    <xf numFmtId="1" fontId="18" fillId="0" borderId="106" xfId="0" applyNumberFormat="1" applyFont="1" applyFill="1" applyBorder="1" applyAlignment="1" applyProtection="1">
      <alignment horizontal="center" vertical="center"/>
    </xf>
    <xf numFmtId="0" fontId="68" fillId="41" borderId="69" xfId="0" applyNumberFormat="1" applyFont="1" applyFill="1" applyBorder="1" applyAlignment="1" applyProtection="1">
      <alignment vertical="center" wrapText="1"/>
    </xf>
    <xf numFmtId="0" fontId="68" fillId="41" borderId="111" xfId="0" applyNumberFormat="1" applyFont="1" applyFill="1" applyBorder="1" applyAlignment="1" applyProtection="1">
      <alignment vertical="center"/>
    </xf>
    <xf numFmtId="0" fontId="68" fillId="41" borderId="54" xfId="0" applyNumberFormat="1" applyFont="1" applyFill="1" applyBorder="1" applyAlignment="1" applyProtection="1">
      <alignment vertical="center"/>
    </xf>
    <xf numFmtId="0" fontId="68" fillId="35" borderId="35" xfId="0" applyNumberFormat="1" applyFont="1" applyFill="1" applyBorder="1" applyAlignment="1" applyProtection="1">
      <alignment horizontal="left" vertical="center"/>
    </xf>
    <xf numFmtId="0" fontId="68" fillId="35" borderId="40" xfId="0" applyNumberFormat="1" applyFont="1" applyFill="1" applyBorder="1" applyAlignment="1" applyProtection="1">
      <alignment horizontal="left" vertical="center"/>
    </xf>
    <xf numFmtId="0" fontId="68" fillId="35" borderId="51"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xf numFmtId="0" fontId="9" fillId="0" borderId="50" xfId="0" applyFont="1" applyBorder="1" applyAlignment="1">
      <alignment horizontal="left" vertical="center" wrapText="1"/>
    </xf>
    <xf numFmtId="0" fontId="18" fillId="0" borderId="4" xfId="0" applyNumberFormat="1" applyFont="1" applyFill="1" applyBorder="1" applyAlignment="1" applyProtection="1">
      <alignment horizontal="center" vertical="center"/>
    </xf>
    <xf numFmtId="0" fontId="68" fillId="41" borderId="22" xfId="0" applyNumberFormat="1" applyFont="1" applyFill="1" applyBorder="1" applyAlignment="1" applyProtection="1">
      <alignment horizontal="center" vertical="center"/>
    </xf>
    <xf numFmtId="0" fontId="18" fillId="0" borderId="22" xfId="0" applyNumberFormat="1" applyFont="1" applyFill="1" applyBorder="1" applyAlignment="1" applyProtection="1">
      <alignment horizontal="center" vertical="center"/>
    </xf>
    <xf numFmtId="0" fontId="68" fillId="41" borderId="21" xfId="0" quotePrefix="1" applyNumberFormat="1" applyFont="1" applyFill="1" applyBorder="1" applyAlignment="1" applyProtection="1">
      <alignment horizontal="right" vertical="center" wrapText="1"/>
    </xf>
    <xf numFmtId="0" fontId="65" fillId="0" borderId="0" xfId="0" applyNumberFormat="1" applyFont="1" applyFill="1" applyBorder="1" applyAlignment="1" applyProtection="1"/>
    <xf numFmtId="0" fontId="18" fillId="0" borderId="104" xfId="0" applyNumberFormat="1" applyFont="1" applyFill="1" applyBorder="1" applyAlignment="1" applyProtection="1">
      <alignment horizontal="left" vertical="center" wrapText="1"/>
    </xf>
    <xf numFmtId="0" fontId="10" fillId="0" borderId="126" xfId="0" quotePrefix="1" applyFont="1" applyBorder="1" applyAlignment="1">
      <alignment horizontal="center" vertical="center"/>
    </xf>
    <xf numFmtId="2" fontId="60" fillId="0" borderId="0" xfId="0" quotePrefix="1" applyNumberFormat="1" applyFont="1" applyFill="1" applyBorder="1" applyAlignment="1">
      <alignment horizontal="center" vertical="center"/>
    </xf>
    <xf numFmtId="0" fontId="23" fillId="0" borderId="0" xfId="0" applyFont="1" applyBorder="1" applyAlignment="1">
      <alignment horizontal="left" vertical="center" wrapText="1"/>
    </xf>
    <xf numFmtId="0" fontId="17" fillId="0" borderId="0" xfId="3" applyFont="1" applyFill="1" applyBorder="1" applyAlignment="1">
      <alignment horizontal="right" vertical="center" wrapText="1"/>
    </xf>
    <xf numFmtId="167" fontId="22" fillId="0" borderId="0" xfId="3" applyNumberFormat="1" applyFont="1" applyFill="1" applyBorder="1" applyAlignment="1">
      <alignment horizontal="center" vertical="center" wrapText="1"/>
    </xf>
    <xf numFmtId="0" fontId="15" fillId="0" borderId="127" xfId="0" applyFont="1" applyBorder="1" applyAlignment="1">
      <alignment vertical="center"/>
    </xf>
    <xf numFmtId="167" fontId="21" fillId="0" borderId="103" xfId="0" applyNumberFormat="1" applyFont="1" applyBorder="1" applyAlignment="1">
      <alignment horizontal="center" vertical="center" wrapText="1"/>
    </xf>
    <xf numFmtId="0" fontId="9" fillId="0" borderId="127" xfId="0" applyFont="1" applyBorder="1" applyAlignment="1">
      <alignment horizontal="center" vertical="center" wrapText="1"/>
    </xf>
    <xf numFmtId="167" fontId="23" fillId="0" borderId="103" xfId="0" applyNumberFormat="1" applyFont="1" applyBorder="1" applyAlignment="1">
      <alignment horizontal="center" vertical="center" wrapText="1"/>
    </xf>
    <xf numFmtId="0" fontId="23" fillId="0" borderId="127" xfId="0" applyFont="1" applyBorder="1" applyAlignment="1">
      <alignment horizontal="center" vertical="center"/>
    </xf>
    <xf numFmtId="0" fontId="15" fillId="0" borderId="102" xfId="0" applyFont="1" applyBorder="1" applyAlignment="1">
      <alignment horizontal="justify" vertical="center" wrapText="1"/>
    </xf>
    <xf numFmtId="167" fontId="24" fillId="0" borderId="103" xfId="0" applyNumberFormat="1" applyFont="1" applyBorder="1" applyAlignment="1">
      <alignment horizontal="center" vertical="center" wrapText="1"/>
    </xf>
    <xf numFmtId="0" fontId="9" fillId="0" borderId="127" xfId="0" applyFont="1" applyBorder="1" applyAlignment="1">
      <alignment horizontal="center" vertical="center"/>
    </xf>
    <xf numFmtId="2" fontId="32" fillId="0"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xf>
    <xf numFmtId="0" fontId="21" fillId="0" borderId="102" xfId="0" applyFont="1" applyBorder="1" applyAlignment="1">
      <alignment horizontal="justify" vertical="center" wrapText="1"/>
    </xf>
    <xf numFmtId="0" fontId="9" fillId="0" borderId="102" xfId="0" applyFont="1" applyBorder="1" applyAlignment="1">
      <alignment horizontal="justify" vertical="center" wrapText="1"/>
    </xf>
    <xf numFmtId="0" fontId="15" fillId="0" borderId="119" xfId="0" applyFont="1" applyBorder="1" applyAlignment="1">
      <alignment horizontal="center" vertical="center" wrapText="1"/>
    </xf>
    <xf numFmtId="0" fontId="25" fillId="0" borderId="102" xfId="0" applyFont="1" applyBorder="1" applyAlignment="1">
      <alignment horizontal="left" vertical="center" wrapText="1"/>
    </xf>
    <xf numFmtId="0" fontId="0" fillId="0" borderId="127" xfId="0" applyBorder="1" applyAlignment="1">
      <alignment horizontal="left" vertical="center"/>
    </xf>
    <xf numFmtId="2" fontId="71" fillId="0" borderId="128" xfId="0" applyNumberFormat="1" applyFont="1" applyFill="1" applyBorder="1" applyAlignment="1">
      <alignment horizontal="center" vertical="center"/>
    </xf>
    <xf numFmtId="0" fontId="66" fillId="0" borderId="129" xfId="0" applyFont="1" applyBorder="1" applyAlignment="1">
      <alignment horizontal="center" vertical="center"/>
    </xf>
    <xf numFmtId="0" fontId="66" fillId="0" borderId="0" xfId="0" applyFont="1" applyBorder="1" applyAlignment="1">
      <alignment horizontal="center" vertical="center"/>
    </xf>
    <xf numFmtId="0" fontId="9" fillId="0" borderId="50" xfId="0" applyFont="1" applyBorder="1" applyAlignment="1">
      <alignment vertical="center" wrapText="1"/>
    </xf>
    <xf numFmtId="0" fontId="18" fillId="0" borderId="51" xfId="0" applyFont="1" applyBorder="1" applyAlignment="1">
      <alignment vertical="top" wrapText="1"/>
    </xf>
    <xf numFmtId="0" fontId="8" fillId="0" borderId="10" xfId="0" applyFont="1" applyBorder="1" applyAlignment="1">
      <alignment vertical="center" wrapText="1"/>
    </xf>
    <xf numFmtId="166" fontId="17" fillId="0" borderId="127" xfId="0" applyNumberFormat="1" applyFont="1" applyFill="1" applyBorder="1" applyAlignment="1">
      <alignment horizontal="center" vertical="center"/>
    </xf>
    <xf numFmtId="4" fontId="7" fillId="0" borderId="119" xfId="0" applyNumberFormat="1" applyFont="1" applyFill="1" applyBorder="1" applyAlignment="1">
      <alignment horizontal="right" vertical="center"/>
    </xf>
    <xf numFmtId="166" fontId="17" fillId="0" borderId="127" xfId="0" applyNumberFormat="1" applyFont="1" applyBorder="1" applyAlignment="1">
      <alignment horizontal="center" vertical="center"/>
    </xf>
    <xf numFmtId="4" fontId="7" fillId="0" borderId="119" xfId="0" applyNumberFormat="1" applyFont="1" applyBorder="1" applyAlignment="1">
      <alignment horizontal="right" vertical="center"/>
    </xf>
    <xf numFmtId="14" fontId="22" fillId="0" borderId="11" xfId="2" applyNumberFormat="1" applyFont="1" applyBorder="1" applyAlignment="1">
      <alignment horizontal="right" vertical="center"/>
    </xf>
    <xf numFmtId="0" fontId="68" fillId="0" borderId="115" xfId="0" applyNumberFormat="1" applyFont="1" applyFill="1" applyBorder="1" applyAlignment="1" applyProtection="1">
      <alignment vertical="center"/>
    </xf>
    <xf numFmtId="0" fontId="18" fillId="0" borderId="113" xfId="0" applyNumberFormat="1" applyFont="1" applyFill="1" applyBorder="1" applyAlignment="1" applyProtection="1">
      <alignment vertical="center"/>
    </xf>
    <xf numFmtId="0" fontId="18" fillId="0" borderId="114" xfId="0" applyNumberFormat="1" applyFont="1" applyFill="1" applyBorder="1" applyAlignment="1" applyProtection="1">
      <alignment vertical="center"/>
    </xf>
    <xf numFmtId="0" fontId="9" fillId="0" borderId="8" xfId="0" applyFont="1" applyBorder="1" applyAlignment="1">
      <alignment horizontal="left" vertical="center" wrapText="1"/>
    </xf>
    <xf numFmtId="0" fontId="103" fillId="0" borderId="14" xfId="56" applyBorder="1" applyAlignment="1">
      <alignment horizontal="center" vertical="center" wrapText="1"/>
    </xf>
    <xf numFmtId="0" fontId="15" fillId="0" borderId="6" xfId="0" applyFont="1" applyBorder="1" applyAlignment="1">
      <alignment horizontal="center" vertical="center" wrapText="1"/>
    </xf>
    <xf numFmtId="167" fontId="23" fillId="0" borderId="11" xfId="0" applyNumberFormat="1" applyFont="1" applyBorder="1" applyAlignment="1">
      <alignment horizontal="center" vertical="center" wrapText="1"/>
    </xf>
    <xf numFmtId="0" fontId="15" fillId="0" borderId="127" xfId="0" applyFont="1" applyBorder="1" applyAlignment="1">
      <alignment horizontal="center" vertical="center"/>
    </xf>
    <xf numFmtId="0" fontId="23" fillId="0" borderId="21" xfId="0" applyFont="1" applyBorder="1" applyAlignment="1">
      <alignment horizontal="center" vertical="center"/>
    </xf>
    <xf numFmtId="0" fontId="23" fillId="0" borderId="12" xfId="0" applyFont="1" applyBorder="1" applyAlignment="1">
      <alignment horizontal="left" vertical="center" wrapText="1"/>
    </xf>
    <xf numFmtId="0" fontId="15" fillId="0" borderId="12" xfId="0" applyFont="1" applyBorder="1" applyAlignment="1">
      <alignment horizontal="center" vertical="center" wrapText="1"/>
    </xf>
    <xf numFmtId="167" fontId="23" fillId="0" borderId="12" xfId="0" applyNumberFormat="1" applyFont="1" applyBorder="1" applyAlignment="1">
      <alignment horizontal="center" vertical="center" wrapText="1"/>
    </xf>
    <xf numFmtId="167" fontId="9" fillId="0" borderId="12" xfId="0" applyNumberFormat="1" applyFont="1" applyBorder="1" applyAlignment="1">
      <alignment horizontal="center" vertical="center"/>
    </xf>
    <xf numFmtId="167" fontId="23" fillId="0" borderId="54" xfId="0" applyNumberFormat="1" applyFont="1" applyBorder="1" applyAlignment="1">
      <alignment horizontal="center" vertical="center" wrapText="1"/>
    </xf>
    <xf numFmtId="0" fontId="23" fillId="0" borderId="19" xfId="0" applyFont="1" applyBorder="1" applyAlignment="1">
      <alignment horizontal="center" vertical="center"/>
    </xf>
    <xf numFmtId="0" fontId="23" fillId="0" borderId="20" xfId="0" applyFont="1" applyBorder="1" applyAlignment="1">
      <alignment horizontal="left" vertical="center" wrapText="1"/>
    </xf>
    <xf numFmtId="0" fontId="15" fillId="0" borderId="20" xfId="0" applyFont="1" applyBorder="1" applyAlignment="1">
      <alignment horizontal="center" vertical="center" wrapText="1"/>
    </xf>
    <xf numFmtId="167" fontId="23" fillId="0" borderId="20" xfId="0" applyNumberFormat="1" applyFont="1" applyBorder="1" applyAlignment="1">
      <alignment horizontal="center" vertical="center" wrapText="1"/>
    </xf>
    <xf numFmtId="167" fontId="9" fillId="0" borderId="20" xfId="0" applyNumberFormat="1" applyFont="1" applyBorder="1" applyAlignment="1">
      <alignment horizontal="center" vertical="center"/>
    </xf>
    <xf numFmtId="0" fontId="23" fillId="0" borderId="28" xfId="0" applyFont="1" applyBorder="1" applyAlignment="1">
      <alignment horizontal="center" vertical="center"/>
    </xf>
    <xf numFmtId="0" fontId="10" fillId="2" borderId="116" xfId="3" applyFont="1" applyFill="1" applyBorder="1" applyAlignment="1">
      <alignment horizontal="center" vertical="center"/>
    </xf>
    <xf numFmtId="167" fontId="22" fillId="2" borderId="130" xfId="3" applyNumberFormat="1" applyFont="1" applyFill="1" applyBorder="1" applyAlignment="1">
      <alignment horizontal="center" vertical="center" wrapText="1"/>
    </xf>
    <xf numFmtId="0" fontId="9" fillId="0" borderId="12" xfId="0" applyFont="1" applyBorder="1" applyAlignment="1">
      <alignment horizontal="left" vertical="center" wrapText="1"/>
    </xf>
    <xf numFmtId="4" fontId="17" fillId="6" borderId="20" xfId="0" applyNumberFormat="1" applyFont="1" applyFill="1" applyBorder="1" applyAlignment="1">
      <alignment horizontal="right" vertical="center"/>
    </xf>
    <xf numFmtId="0" fontId="21" fillId="0" borderId="123" xfId="0" applyFont="1" applyBorder="1" applyAlignment="1">
      <alignment horizontal="justify" vertical="center" wrapText="1"/>
    </xf>
    <xf numFmtId="167" fontId="15" fillId="0" borderId="103" xfId="0" applyNumberFormat="1" applyFont="1" applyBorder="1" applyAlignment="1">
      <alignment horizontal="center" vertical="center" wrapText="1"/>
    </xf>
    <xf numFmtId="167" fontId="17" fillId="2" borderId="130" xfId="3" applyNumberFormat="1" applyFont="1" applyFill="1" applyBorder="1" applyAlignment="1">
      <alignment horizontal="center" vertical="center" wrapText="1"/>
    </xf>
    <xf numFmtId="167" fontId="21" fillId="0" borderId="128" xfId="0" applyNumberFormat="1" applyFont="1" applyBorder="1" applyAlignment="1">
      <alignment horizontal="center" vertical="center" wrapText="1"/>
    </xf>
    <xf numFmtId="167" fontId="23" fillId="0" borderId="26" xfId="0" applyNumberFormat="1" applyFont="1" applyBorder="1" applyAlignment="1">
      <alignment horizontal="center" vertical="center" wrapText="1"/>
    </xf>
    <xf numFmtId="0" fontId="21" fillId="0" borderId="123" xfId="0" applyFont="1" applyBorder="1" applyAlignment="1">
      <alignment horizontal="center" vertical="center" wrapText="1"/>
    </xf>
    <xf numFmtId="171" fontId="21" fillId="0" borderId="123" xfId="0" applyNumberFormat="1" applyFont="1" applyBorder="1" applyAlignment="1">
      <alignment horizontal="center" vertical="center" wrapText="1"/>
    </xf>
    <xf numFmtId="0" fontId="21" fillId="0" borderId="31" xfId="0" applyFont="1" applyBorder="1" applyAlignment="1">
      <alignment horizontal="justify" vertical="center" wrapText="1"/>
    </xf>
    <xf numFmtId="167" fontId="21" fillId="0" borderId="26" xfId="0" applyNumberFormat="1" applyFont="1" applyBorder="1" applyAlignment="1">
      <alignment horizontal="center" vertical="center" wrapText="1"/>
    </xf>
    <xf numFmtId="0" fontId="9" fillId="0" borderId="102" xfId="0" applyFont="1" applyBorder="1" applyAlignment="1">
      <alignment horizontal="left" vertical="center" wrapText="1"/>
    </xf>
    <xf numFmtId="0" fontId="9" fillId="0" borderId="20" xfId="0" applyFont="1" applyBorder="1" applyAlignment="1">
      <alignment horizontal="left" vertical="center" wrapText="1"/>
    </xf>
    <xf numFmtId="172" fontId="9" fillId="0" borderId="20" xfId="0" applyNumberFormat="1" applyFont="1" applyBorder="1" applyAlignment="1">
      <alignment horizontal="center" vertical="center"/>
    </xf>
    <xf numFmtId="0" fontId="10" fillId="0" borderId="33" xfId="3" applyFont="1" applyFill="1" applyBorder="1" applyAlignment="1">
      <alignment horizontal="center" vertical="center"/>
    </xf>
    <xf numFmtId="0" fontId="17" fillId="2" borderId="33" xfId="0" applyFont="1" applyFill="1" applyBorder="1" applyAlignment="1">
      <alignment horizontal="center" vertical="center"/>
    </xf>
    <xf numFmtId="0" fontId="22" fillId="5" borderId="34" xfId="0" applyFont="1" applyFill="1" applyBorder="1" applyAlignment="1">
      <alignment horizontal="justify" vertical="center" wrapText="1"/>
    </xf>
    <xf numFmtId="0" fontId="17" fillId="5" borderId="34" xfId="3" applyFont="1" applyFill="1" applyBorder="1" applyAlignment="1">
      <alignment vertical="center"/>
    </xf>
    <xf numFmtId="0" fontId="17" fillId="5" borderId="34" xfId="3" applyFont="1" applyFill="1" applyBorder="1" applyAlignment="1">
      <alignment horizontal="right" vertical="center"/>
    </xf>
    <xf numFmtId="2" fontId="17" fillId="5" borderId="36" xfId="3" applyNumberFormat="1" applyFont="1" applyFill="1" applyBorder="1" applyAlignment="1">
      <alignment vertical="center"/>
    </xf>
    <xf numFmtId="167" fontId="10" fillId="0" borderId="36" xfId="3" applyNumberFormat="1" applyFont="1" applyFill="1" applyBorder="1" applyAlignment="1">
      <alignment horizontal="center" vertical="center" wrapText="1"/>
    </xf>
    <xf numFmtId="0" fontId="15" fillId="0" borderId="123" xfId="0" applyFont="1" applyBorder="1" applyAlignment="1">
      <alignment horizontal="center" vertical="center" wrapText="1"/>
    </xf>
    <xf numFmtId="167" fontId="9" fillId="0" borderId="123" xfId="0" applyNumberFormat="1" applyFont="1" applyBorder="1" applyAlignment="1">
      <alignment horizontal="center" vertical="center"/>
    </xf>
    <xf numFmtId="4" fontId="17" fillId="6" borderId="102" xfId="0" applyNumberFormat="1" applyFont="1" applyFill="1" applyBorder="1" applyAlignment="1">
      <alignment horizontal="right" vertical="center"/>
    </xf>
    <xf numFmtId="0" fontId="15" fillId="0" borderId="21" xfId="0" applyFont="1" applyBorder="1" applyAlignment="1">
      <alignment horizontal="center" vertical="center"/>
    </xf>
    <xf numFmtId="171" fontId="9" fillId="0" borderId="12" xfId="0" applyNumberFormat="1" applyFont="1" applyBorder="1" applyAlignment="1">
      <alignment horizontal="center" vertical="center"/>
    </xf>
    <xf numFmtId="0" fontId="25" fillId="0" borderId="12" xfId="0" applyFont="1" applyBorder="1" applyAlignment="1">
      <alignment wrapText="1"/>
    </xf>
    <xf numFmtId="2" fontId="15" fillId="0" borderId="12" xfId="0" applyNumberFormat="1" applyFont="1" applyBorder="1" applyAlignment="1">
      <alignment horizontal="center" vertical="center"/>
    </xf>
    <xf numFmtId="4" fontId="17" fillId="6" borderId="12" xfId="0" applyNumberFormat="1" applyFont="1" applyFill="1" applyBorder="1" applyAlignment="1">
      <alignment horizontal="right" vertical="center"/>
    </xf>
    <xf numFmtId="167" fontId="24" fillId="0" borderId="17" xfId="0" applyNumberFormat="1" applyFont="1" applyBorder="1" applyAlignment="1">
      <alignment horizontal="center" vertical="center" wrapText="1"/>
    </xf>
    <xf numFmtId="0" fontId="21" fillId="0" borderId="102" xfId="0" applyFont="1" applyBorder="1" applyAlignment="1">
      <alignment horizontal="left" vertical="center" wrapText="1"/>
    </xf>
    <xf numFmtId="0" fontId="23" fillId="0" borderId="22" xfId="0" applyFont="1" applyFill="1" applyBorder="1" applyAlignment="1">
      <alignment horizontal="center" vertical="center"/>
    </xf>
    <xf numFmtId="0" fontId="9" fillId="0" borderId="123" xfId="0" applyFont="1" applyBorder="1" applyAlignment="1">
      <alignment horizontal="left" vertical="center" wrapText="1"/>
    </xf>
    <xf numFmtId="0" fontId="104" fillId="0" borderId="0" xfId="0" applyFont="1"/>
    <xf numFmtId="0" fontId="69" fillId="0" borderId="0" xfId="0" applyFont="1"/>
    <xf numFmtId="0" fontId="21" fillId="0" borderId="20" xfId="0" applyFont="1" applyBorder="1" applyAlignment="1">
      <alignment horizontal="center" vertical="center" wrapText="1"/>
    </xf>
    <xf numFmtId="171" fontId="21" fillId="0" borderId="20" xfId="0" applyNumberFormat="1" applyFont="1" applyBorder="1" applyAlignment="1">
      <alignment horizontal="center" vertical="center" wrapText="1"/>
    </xf>
    <xf numFmtId="0" fontId="17" fillId="6" borderId="20" xfId="0" applyFont="1" applyFill="1" applyBorder="1" applyAlignment="1">
      <alignment horizontal="center" vertical="center" wrapText="1"/>
    </xf>
    <xf numFmtId="171" fontId="9" fillId="0" borderId="20" xfId="0" applyNumberFormat="1" applyFont="1" applyBorder="1" applyAlignment="1">
      <alignment horizontal="center" vertical="center"/>
    </xf>
    <xf numFmtId="171" fontId="9" fillId="0" borderId="123" xfId="0" applyNumberFormat="1" applyFont="1" applyBorder="1" applyAlignment="1">
      <alignment horizontal="center" vertical="center"/>
    </xf>
    <xf numFmtId="0" fontId="21" fillId="0" borderId="20" xfId="0" applyFont="1" applyBorder="1" applyAlignment="1">
      <alignment horizontal="justify" vertical="center" wrapText="1"/>
    </xf>
    <xf numFmtId="167" fontId="21" fillId="0" borderId="38" xfId="0" applyNumberFormat="1" applyFont="1" applyBorder="1" applyAlignment="1">
      <alignment horizontal="center" vertical="center" wrapText="1"/>
    </xf>
    <xf numFmtId="0" fontId="0" fillId="0" borderId="115" xfId="0" applyBorder="1"/>
    <xf numFmtId="0" fontId="31" fillId="30" borderId="127" xfId="5" applyFont="1" applyFill="1" applyBorder="1" applyAlignment="1">
      <alignment horizontal="center" vertical="center" wrapText="1"/>
    </xf>
    <xf numFmtId="173" fontId="35" fillId="0" borderId="0" xfId="1" applyNumberFormat="1" applyFont="1" applyFill="1" applyBorder="1" applyAlignment="1">
      <alignment vertical="center" wrapText="1"/>
    </xf>
    <xf numFmtId="0" fontId="16" fillId="0" borderId="0" xfId="0" applyFont="1" applyAlignment="1">
      <alignment horizontal="left" vertical="center" wrapText="1"/>
    </xf>
    <xf numFmtId="0" fontId="10" fillId="0" borderId="125" xfId="0" applyFont="1" applyFill="1" applyBorder="1" applyAlignment="1">
      <alignment horizontal="center" vertical="center"/>
    </xf>
    <xf numFmtId="0" fontId="10" fillId="0" borderId="119" xfId="0" quotePrefix="1" applyFont="1" applyBorder="1" applyAlignment="1">
      <alignment horizontal="center" vertical="center"/>
    </xf>
    <xf numFmtId="0" fontId="10" fillId="0" borderId="123" xfId="0" quotePrefix="1" applyFont="1" applyBorder="1" applyAlignment="1">
      <alignment horizontal="center" vertical="center"/>
    </xf>
    <xf numFmtId="0" fontId="10" fillId="0" borderId="123" xfId="0" applyFont="1" applyBorder="1" applyAlignment="1">
      <alignment horizontal="right" vertical="center"/>
    </xf>
    <xf numFmtId="4" fontId="10" fillId="0" borderId="123" xfId="0" applyNumberFormat="1" applyFont="1" applyBorder="1" applyAlignment="1">
      <alignment horizontal="right" vertical="center"/>
    </xf>
    <xf numFmtId="4" fontId="17" fillId="0" borderId="128" xfId="0" applyNumberFormat="1" applyFont="1" applyBorder="1" applyAlignment="1">
      <alignment horizontal="right" vertical="center"/>
    </xf>
    <xf numFmtId="4" fontId="10" fillId="0" borderId="126" xfId="0" applyNumberFormat="1" applyFont="1" applyBorder="1" applyAlignment="1">
      <alignment horizontal="right" vertical="center"/>
    </xf>
    <xf numFmtId="4" fontId="10" fillId="0" borderId="128" xfId="0" applyNumberFormat="1" applyFont="1" applyBorder="1" applyAlignment="1">
      <alignment horizontal="right" vertical="center"/>
    </xf>
    <xf numFmtId="0" fontId="0" fillId="0" borderId="27" xfId="0" applyBorder="1" applyAlignment="1">
      <alignment horizontal="left" vertical="center"/>
    </xf>
    <xf numFmtId="2" fontId="71" fillId="0" borderId="1" xfId="0" applyNumberFormat="1" applyFont="1" applyFill="1" applyBorder="1" applyAlignment="1">
      <alignment horizontal="center" vertical="center"/>
    </xf>
    <xf numFmtId="0" fontId="9" fillId="0" borderId="33" xfId="0" applyFont="1" applyBorder="1" applyAlignment="1">
      <alignment vertical="center" wrapText="1"/>
    </xf>
    <xf numFmtId="167" fontId="100" fillId="0" borderId="0" xfId="0" applyNumberFormat="1" applyFont="1" applyFill="1" applyBorder="1" applyAlignment="1" applyProtection="1"/>
    <xf numFmtId="0" fontId="25" fillId="0" borderId="0" xfId="0" applyFont="1" applyAlignment="1">
      <alignment horizontal="left" vertical="center"/>
    </xf>
    <xf numFmtId="2" fontId="18" fillId="0" borderId="105" xfId="0" quotePrefix="1" applyNumberFormat="1" applyFont="1" applyFill="1" applyBorder="1" applyAlignment="1" applyProtection="1">
      <alignment vertical="center"/>
    </xf>
    <xf numFmtId="167" fontId="32" fillId="0" borderId="0" xfId="0" applyNumberFormat="1" applyFont="1" applyFill="1" applyBorder="1" applyAlignment="1" applyProtection="1">
      <alignment vertical="center" wrapText="1"/>
    </xf>
    <xf numFmtId="167" fontId="105" fillId="0" borderId="105" xfId="0" quotePrefix="1" applyNumberFormat="1" applyFont="1" applyFill="1" applyBorder="1" applyAlignment="1" applyProtection="1">
      <alignment horizontal="center" vertical="center" wrapText="1"/>
    </xf>
    <xf numFmtId="4" fontId="17" fillId="6" borderId="123" xfId="0" applyNumberFormat="1" applyFont="1" applyFill="1" applyBorder="1" applyAlignment="1">
      <alignment horizontal="right" vertical="center"/>
    </xf>
    <xf numFmtId="167" fontId="22" fillId="2" borderId="130" xfId="0" applyNumberFormat="1" applyFont="1" applyFill="1" applyBorder="1" applyAlignment="1">
      <alignment horizontal="center" vertical="center" wrapText="1"/>
    </xf>
    <xf numFmtId="167" fontId="18" fillId="0" borderId="119" xfId="0" applyNumberFormat="1" applyFont="1" applyFill="1" applyBorder="1" applyAlignment="1" applyProtection="1">
      <alignment horizontal="center" vertical="center" wrapText="1"/>
    </xf>
    <xf numFmtId="167" fontId="18" fillId="0" borderId="113" xfId="0" applyNumberFormat="1" applyFont="1" applyFill="1" applyBorder="1" applyAlignment="1" applyProtection="1">
      <alignment horizontal="center" vertical="center" wrapText="1"/>
    </xf>
    <xf numFmtId="167" fontId="18" fillId="0" borderId="114" xfId="0" applyNumberFormat="1" applyFont="1" applyFill="1" applyBorder="1" applyAlignment="1" applyProtection="1">
      <alignment horizontal="center" vertical="center" wrapText="1"/>
    </xf>
    <xf numFmtId="167" fontId="18" fillId="0" borderId="123" xfId="0" applyNumberFormat="1" applyFont="1" applyFill="1" applyBorder="1" applyAlignment="1" applyProtection="1">
      <alignment horizontal="center" vertical="center" wrapText="1"/>
    </xf>
    <xf numFmtId="167" fontId="68" fillId="41" borderId="53" xfId="0" applyNumberFormat="1" applyFont="1" applyFill="1" applyBorder="1" applyAlignment="1" applyProtection="1">
      <alignment horizontal="center" vertical="center" wrapText="1"/>
    </xf>
    <xf numFmtId="4" fontId="65" fillId="0" borderId="0" xfId="0" applyNumberFormat="1" applyFont="1" applyBorder="1" applyAlignment="1">
      <alignment horizontal="left" vertical="center"/>
    </xf>
    <xf numFmtId="0" fontId="68" fillId="41" borderId="4" xfId="0" applyNumberFormat="1" applyFont="1" applyFill="1" applyBorder="1" applyAlignment="1" applyProtection="1">
      <alignment horizontal="center" vertical="center" wrapText="1"/>
    </xf>
    <xf numFmtId="167" fontId="18" fillId="41" borderId="53" xfId="0" applyNumberFormat="1" applyFont="1" applyFill="1" applyBorder="1" applyAlignment="1" applyProtection="1">
      <alignment horizontal="center" vertical="center" wrapText="1"/>
    </xf>
    <xf numFmtId="167" fontId="68" fillId="41" borderId="53" xfId="0" quotePrefix="1" applyNumberFormat="1" applyFont="1" applyFill="1" applyBorder="1" applyAlignment="1" applyProtection="1">
      <alignment horizontal="center" vertical="center" wrapText="1"/>
    </xf>
    <xf numFmtId="0" fontId="23" fillId="0" borderId="26" xfId="0" applyFont="1" applyFill="1" applyBorder="1" applyAlignment="1">
      <alignment horizontal="left" vertical="center" wrapText="1"/>
    </xf>
    <xf numFmtId="0" fontId="23" fillId="0" borderId="26" xfId="0" applyFont="1" applyFill="1" applyBorder="1" applyAlignment="1">
      <alignment horizontal="right" vertical="center" wrapText="1"/>
    </xf>
    <xf numFmtId="0" fontId="23" fillId="0" borderId="11" xfId="0" applyFont="1" applyFill="1" applyBorder="1" applyAlignment="1">
      <alignment horizontal="left" vertical="center" wrapText="1"/>
    </xf>
    <xf numFmtId="0" fontId="23" fillId="0" borderId="11" xfId="0" applyFont="1" applyFill="1" applyBorder="1" applyAlignment="1">
      <alignment horizontal="right" vertical="center" wrapText="1"/>
    </xf>
    <xf numFmtId="0" fontId="9" fillId="0" borderId="11" xfId="0" applyFont="1" applyFill="1" applyBorder="1" applyAlignment="1">
      <alignment horizontal="left" vertical="center" wrapText="1"/>
    </xf>
    <xf numFmtId="0" fontId="23" fillId="0" borderId="44" xfId="0" applyFont="1" applyFill="1" applyBorder="1" applyAlignment="1">
      <alignment horizontal="left" vertical="center" wrapText="1"/>
    </xf>
    <xf numFmtId="0" fontId="9" fillId="0" borderId="11" xfId="0" applyFont="1" applyFill="1" applyBorder="1" applyAlignment="1">
      <alignment horizontal="right" vertical="center" wrapText="1"/>
    </xf>
    <xf numFmtId="0" fontId="23" fillId="0" borderId="44" xfId="0" applyFont="1" applyFill="1" applyBorder="1" applyAlignment="1">
      <alignment horizontal="right" vertical="center" wrapText="1"/>
    </xf>
    <xf numFmtId="0" fontId="23" fillId="0" borderId="71"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23" fillId="0" borderId="72" xfId="0" applyFont="1" applyFill="1" applyBorder="1" applyAlignment="1">
      <alignment horizontal="left" vertical="center" wrapText="1"/>
    </xf>
    <xf numFmtId="0" fontId="71" fillId="0" borderId="72" xfId="0" applyFont="1" applyFill="1" applyBorder="1" applyAlignment="1">
      <alignment wrapText="1"/>
    </xf>
    <xf numFmtId="0" fontId="0" fillId="0" borderId="72" xfId="0" applyFill="1" applyBorder="1" applyAlignment="1">
      <alignment wrapText="1"/>
    </xf>
    <xf numFmtId="0" fontId="23" fillId="0" borderId="72" xfId="0" applyFont="1" applyFill="1" applyBorder="1" applyAlignment="1">
      <alignment wrapText="1"/>
    </xf>
    <xf numFmtId="0" fontId="23" fillId="0" borderId="73" xfId="0" applyFont="1" applyFill="1" applyBorder="1" applyAlignment="1">
      <alignment wrapText="1"/>
    </xf>
    <xf numFmtId="167" fontId="10" fillId="0" borderId="6" xfId="0" applyNumberFormat="1" applyFont="1" applyFill="1" applyBorder="1" applyAlignment="1">
      <alignment horizontal="right" vertical="center"/>
    </xf>
    <xf numFmtId="2" fontId="10" fillId="0" borderId="123" xfId="0" applyNumberFormat="1" applyFont="1" applyFill="1" applyBorder="1" applyAlignment="1">
      <alignment horizontal="right" vertical="center"/>
    </xf>
    <xf numFmtId="2" fontId="10" fillId="0" borderId="6" xfId="0" applyNumberFormat="1" applyFont="1" applyFill="1" applyBorder="1" applyAlignment="1">
      <alignment horizontal="right" vertical="center"/>
    </xf>
    <xf numFmtId="2" fontId="7" fillId="5" borderId="20" xfId="0" applyNumberFormat="1" applyFont="1" applyFill="1" applyBorder="1" applyAlignment="1">
      <alignment horizontal="right" vertical="center" wrapText="1"/>
    </xf>
    <xf numFmtId="2" fontId="7" fillId="5" borderId="18" xfId="0" applyNumberFormat="1" applyFont="1" applyFill="1" applyBorder="1" applyAlignment="1">
      <alignment horizontal="right" vertical="center" wrapText="1"/>
    </xf>
    <xf numFmtId="2" fontId="17" fillId="5" borderId="18" xfId="0" applyNumberFormat="1" applyFont="1" applyFill="1" applyBorder="1" applyAlignment="1">
      <alignment horizontal="right" vertical="center" wrapText="1"/>
    </xf>
    <xf numFmtId="2" fontId="17" fillId="5" borderId="18" xfId="0" applyNumberFormat="1" applyFont="1" applyFill="1" applyBorder="1" applyAlignment="1">
      <alignment horizontal="center" vertical="center" wrapText="1"/>
    </xf>
    <xf numFmtId="4" fontId="10" fillId="0" borderId="123" xfId="0" applyNumberFormat="1" applyFont="1" applyFill="1" applyBorder="1" applyAlignment="1">
      <alignment horizontal="right" vertical="center" wrapText="1"/>
    </xf>
    <xf numFmtId="4" fontId="10" fillId="3" borderId="123" xfId="0" applyNumberFormat="1" applyFont="1" applyFill="1" applyBorder="1" applyAlignment="1">
      <alignment horizontal="right" vertical="center"/>
    </xf>
    <xf numFmtId="4" fontId="10" fillId="32" borderId="17" xfId="0" applyNumberFormat="1" applyFont="1" applyFill="1" applyBorder="1" applyAlignment="1">
      <alignment horizontal="right" vertical="center"/>
    </xf>
    <xf numFmtId="0" fontId="10" fillId="0" borderId="19" xfId="0" quotePrefix="1" applyFont="1" applyBorder="1" applyAlignment="1">
      <alignment horizontal="center" vertical="center"/>
    </xf>
    <xf numFmtId="4" fontId="10" fillId="0" borderId="20" xfId="0" applyNumberFormat="1" applyFont="1" applyBorder="1" applyAlignment="1">
      <alignment horizontal="right" vertical="center"/>
    </xf>
    <xf numFmtId="4" fontId="10" fillId="0" borderId="38" xfId="0" applyNumberFormat="1" applyFont="1" applyBorder="1" applyAlignment="1">
      <alignment horizontal="right" vertical="center"/>
    </xf>
    <xf numFmtId="0" fontId="10" fillId="32" borderId="28" xfId="0" applyFont="1" applyFill="1" applyBorder="1" applyAlignment="1">
      <alignment horizontal="center" vertical="center"/>
    </xf>
    <xf numFmtId="0" fontId="10" fillId="32" borderId="6" xfId="0" quotePrefix="1" applyFont="1" applyFill="1" applyBorder="1" applyAlignment="1">
      <alignment horizontal="center" vertical="center"/>
    </xf>
    <xf numFmtId="0" fontId="17" fillId="32" borderId="6" xfId="0" quotePrefix="1" applyFont="1" applyFill="1" applyBorder="1" applyAlignment="1">
      <alignment horizontal="left" vertical="center"/>
    </xf>
    <xf numFmtId="2" fontId="10" fillId="32" borderId="6" xfId="0" applyNumberFormat="1" applyFont="1" applyFill="1" applyBorder="1" applyAlignment="1">
      <alignment horizontal="right" vertical="center"/>
    </xf>
    <xf numFmtId="4" fontId="10" fillId="32" borderId="6" xfId="0" applyNumberFormat="1" applyFont="1" applyFill="1" applyBorder="1" applyAlignment="1">
      <alignment horizontal="right" vertical="center" wrapText="1"/>
    </xf>
    <xf numFmtId="4" fontId="10" fillId="32" borderId="6" xfId="0" applyNumberFormat="1" applyFont="1" applyFill="1" applyBorder="1" applyAlignment="1">
      <alignment horizontal="right" vertical="center"/>
    </xf>
    <xf numFmtId="4" fontId="10" fillId="32" borderId="13" xfId="0" applyNumberFormat="1" applyFont="1" applyFill="1" applyBorder="1" applyAlignment="1">
      <alignment horizontal="right" vertical="center"/>
    </xf>
    <xf numFmtId="0" fontId="10" fillId="0" borderId="127" xfId="0" quotePrefix="1" applyFont="1" applyBorder="1" applyAlignment="1">
      <alignment horizontal="center" vertical="center"/>
    </xf>
    <xf numFmtId="0" fontId="10" fillId="0" borderId="123" xfId="0" applyFont="1" applyBorder="1" applyAlignment="1">
      <alignment horizontal="left" vertical="center" wrapText="1"/>
    </xf>
    <xf numFmtId="0" fontId="10" fillId="0" borderId="131" xfId="0" quotePrefix="1" applyFont="1" applyBorder="1" applyAlignment="1">
      <alignment horizontal="center" vertical="center"/>
    </xf>
    <xf numFmtId="0" fontId="10" fillId="0" borderId="131" xfId="0" quotePrefix="1" applyFont="1" applyBorder="1" applyAlignment="1">
      <alignment horizontal="left" vertical="center" wrapText="1"/>
    </xf>
    <xf numFmtId="2" fontId="10" fillId="0" borderId="131" xfId="0" applyNumberFormat="1" applyFont="1" applyFill="1" applyBorder="1" applyAlignment="1">
      <alignment horizontal="right" vertical="center"/>
    </xf>
    <xf numFmtId="0" fontId="10" fillId="0" borderId="131" xfId="0" applyFont="1" applyBorder="1" applyAlignment="1">
      <alignment horizontal="right" vertical="center"/>
    </xf>
    <xf numFmtId="4" fontId="10" fillId="0" borderId="131" xfId="0" applyNumberFormat="1" applyFont="1" applyBorder="1" applyAlignment="1">
      <alignment horizontal="right" vertical="center"/>
    </xf>
    <xf numFmtId="4" fontId="17" fillId="0" borderId="130" xfId="0" applyNumberFormat="1" applyFont="1" applyBorder="1" applyAlignment="1">
      <alignment horizontal="right" vertical="center"/>
    </xf>
    <xf numFmtId="4" fontId="10" fillId="0" borderId="17" xfId="0" applyNumberFormat="1" applyFont="1" applyBorder="1" applyAlignment="1">
      <alignment horizontal="right" vertical="center"/>
    </xf>
    <xf numFmtId="0" fontId="15" fillId="0" borderId="131" xfId="0" applyFont="1" applyBorder="1" applyAlignment="1">
      <alignment horizontal="left" vertical="center" wrapText="1"/>
    </xf>
    <xf numFmtId="0" fontId="10" fillId="0" borderId="131" xfId="0" applyNumberFormat="1" applyFont="1" applyBorder="1" applyAlignment="1">
      <alignment horizontal="center" vertical="center"/>
    </xf>
    <xf numFmtId="0" fontId="17" fillId="32" borderId="123" xfId="0" quotePrefix="1" applyFont="1" applyFill="1" applyBorder="1" applyAlignment="1">
      <alignment horizontal="left" vertical="center"/>
    </xf>
    <xf numFmtId="0" fontId="17" fillId="32" borderId="21" xfId="0" applyFont="1" applyFill="1" applyBorder="1" applyAlignment="1">
      <alignment horizontal="center" vertical="center"/>
    </xf>
    <xf numFmtId="167" fontId="10" fillId="0" borderId="123" xfId="0" applyNumberFormat="1" applyFont="1" applyFill="1" applyBorder="1" applyAlignment="1">
      <alignment horizontal="right" vertical="center"/>
    </xf>
    <xf numFmtId="2" fontId="15" fillId="3" borderId="123" xfId="0" applyNumberFormat="1" applyFont="1" applyFill="1" applyBorder="1" applyAlignment="1">
      <alignment horizontal="right" vertical="center"/>
    </xf>
    <xf numFmtId="0" fontId="10" fillId="0" borderId="126" xfId="0" applyFont="1" applyFill="1" applyBorder="1" applyAlignment="1">
      <alignment horizontal="center" vertical="center"/>
    </xf>
    <xf numFmtId="4" fontId="10" fillId="3" borderId="123" xfId="0" applyNumberFormat="1" applyFont="1" applyFill="1" applyBorder="1" applyAlignment="1">
      <alignment horizontal="right" vertical="center" wrapText="1"/>
    </xf>
    <xf numFmtId="173" fontId="10" fillId="3" borderId="123" xfId="0" applyNumberFormat="1" applyFont="1" applyFill="1" applyBorder="1" applyAlignment="1">
      <alignment horizontal="right" vertical="center" wrapText="1"/>
    </xf>
    <xf numFmtId="0" fontId="27" fillId="0" borderId="123" xfId="0" applyFont="1" applyBorder="1" applyAlignment="1">
      <alignment horizontal="center" vertical="center"/>
    </xf>
    <xf numFmtId="4" fontId="10" fillId="33" borderId="126" xfId="0" applyNumberFormat="1" applyFont="1" applyFill="1" applyBorder="1" applyAlignment="1">
      <alignment horizontal="right" vertical="center"/>
    </xf>
    <xf numFmtId="4" fontId="10" fillId="33" borderId="128" xfId="0" applyNumberFormat="1" applyFont="1" applyFill="1" applyBorder="1" applyAlignment="1">
      <alignment horizontal="right" vertical="center"/>
    </xf>
    <xf numFmtId="167" fontId="10" fillId="0" borderId="119" xfId="0" applyNumberFormat="1" applyFont="1" applyFill="1" applyBorder="1" applyAlignment="1">
      <alignment horizontal="right" vertical="center" wrapText="1"/>
    </xf>
    <xf numFmtId="0" fontId="30" fillId="0" borderId="123" xfId="0" applyFont="1" applyBorder="1" applyAlignment="1">
      <alignment horizontal="center" vertical="center"/>
    </xf>
    <xf numFmtId="0" fontId="10" fillId="0" borderId="131" xfId="0" applyFont="1" applyBorder="1" applyAlignment="1">
      <alignment horizontal="center" vertical="center"/>
    </xf>
    <xf numFmtId="0" fontId="10" fillId="0" borderId="131" xfId="0" applyFont="1" applyBorder="1" applyAlignment="1">
      <alignment horizontal="left" vertical="center" wrapText="1"/>
    </xf>
    <xf numFmtId="4" fontId="10" fillId="0" borderId="131" xfId="0" applyNumberFormat="1" applyFont="1" applyFill="1" applyBorder="1" applyAlignment="1">
      <alignment horizontal="right" vertical="center"/>
    </xf>
    <xf numFmtId="0" fontId="10" fillId="0" borderId="123" xfId="0" quotePrefix="1" applyFont="1" applyFill="1" applyBorder="1" applyAlignment="1">
      <alignment horizontal="center" vertical="center" wrapText="1"/>
    </xf>
    <xf numFmtId="0" fontId="10" fillId="0" borderId="21" xfId="0" applyFont="1" applyFill="1" applyBorder="1" applyAlignment="1">
      <alignment horizontal="center" vertical="center"/>
    </xf>
    <xf numFmtId="0" fontId="9" fillId="0" borderId="37" xfId="0" applyFont="1" applyBorder="1" applyAlignment="1">
      <alignment horizontal="center" vertical="center"/>
    </xf>
    <xf numFmtId="0" fontId="9" fillId="0" borderId="35" xfId="0" applyFont="1" applyBorder="1" applyAlignment="1">
      <alignment horizontal="center" vertical="center"/>
    </xf>
    <xf numFmtId="167" fontId="18" fillId="0" borderId="123" xfId="0" quotePrefix="1" applyNumberFormat="1" applyFont="1" applyFill="1" applyBorder="1" applyAlignment="1" applyProtection="1">
      <alignment horizontal="center" vertical="center" wrapText="1"/>
    </xf>
    <xf numFmtId="0" fontId="10" fillId="0" borderId="28" xfId="0" quotePrefix="1" applyFont="1" applyBorder="1" applyAlignment="1">
      <alignment horizontal="center" vertical="center"/>
    </xf>
    <xf numFmtId="167" fontId="10" fillId="0" borderId="14" xfId="0" applyNumberFormat="1" applyFont="1" applyBorder="1" applyAlignment="1">
      <alignment horizontal="right" vertical="center"/>
    </xf>
    <xf numFmtId="167" fontId="18" fillId="0" borderId="4" xfId="0" quotePrefix="1" applyNumberFormat="1" applyFont="1" applyFill="1" applyBorder="1" applyAlignment="1" applyProtection="1">
      <alignment horizontal="center" vertical="center" wrapText="1"/>
    </xf>
    <xf numFmtId="2" fontId="68" fillId="41" borderId="131" xfId="0" applyNumberFormat="1" applyFont="1" applyFill="1" applyBorder="1" applyAlignment="1" applyProtection="1">
      <alignment vertical="center"/>
    </xf>
    <xf numFmtId="2" fontId="63" fillId="41" borderId="4" xfId="0" applyNumberFormat="1" applyFont="1" applyFill="1" applyBorder="1" applyAlignment="1" applyProtection="1">
      <alignment vertical="center"/>
    </xf>
    <xf numFmtId="0" fontId="23" fillId="0" borderId="116" xfId="0" applyFont="1" applyBorder="1"/>
    <xf numFmtId="0" fontId="24" fillId="0" borderId="131" xfId="0" applyFont="1" applyBorder="1" applyAlignment="1">
      <alignment horizontal="right" vertical="center"/>
    </xf>
    <xf numFmtId="2" fontId="24" fillId="0" borderId="131" xfId="0" applyNumberFormat="1" applyFont="1" applyBorder="1" applyAlignment="1">
      <alignment horizontal="center" vertical="center"/>
    </xf>
    <xf numFmtId="0" fontId="23" fillId="0" borderId="130" xfId="0" applyFont="1" applyBorder="1"/>
    <xf numFmtId="0" fontId="9" fillId="0" borderId="28" xfId="0" applyFont="1" applyFill="1" applyBorder="1" applyAlignment="1">
      <alignment horizontal="center" vertical="center"/>
    </xf>
    <xf numFmtId="0" fontId="9" fillId="0" borderId="0" xfId="0" applyFont="1" applyBorder="1" applyAlignment="1">
      <alignment horizontal="left" vertical="center" wrapText="1"/>
    </xf>
    <xf numFmtId="0" fontId="77" fillId="0" borderId="0" xfId="0" applyFont="1" applyBorder="1"/>
    <xf numFmtId="167" fontId="24" fillId="0" borderId="128" xfId="0" applyNumberFormat="1" applyFont="1" applyFill="1" applyBorder="1" applyAlignment="1">
      <alignment horizontal="center" vertical="center" wrapText="1"/>
    </xf>
    <xf numFmtId="0" fontId="21" fillId="0" borderId="123" xfId="0" applyFont="1" applyFill="1" applyBorder="1" applyAlignment="1">
      <alignment horizontal="justify" vertical="center" wrapText="1"/>
    </xf>
    <xf numFmtId="167" fontId="22" fillId="0" borderId="130" xfId="3" applyNumberFormat="1" applyFont="1" applyFill="1" applyBorder="1" applyAlignment="1">
      <alignment horizontal="center" vertical="center" wrapText="1"/>
    </xf>
    <xf numFmtId="0" fontId="9" fillId="0" borderId="21" xfId="0" applyFont="1" applyBorder="1" applyAlignment="1">
      <alignment horizontal="center" vertical="center"/>
    </xf>
    <xf numFmtId="0" fontId="0" fillId="0" borderId="113" xfId="0" applyBorder="1"/>
    <xf numFmtId="0" fontId="0" fillId="0" borderId="114" xfId="0" applyBorder="1"/>
    <xf numFmtId="0" fontId="22" fillId="0" borderId="115" xfId="0" applyFont="1" applyBorder="1" applyAlignment="1">
      <alignment vertical="center" wrapText="1"/>
    </xf>
    <xf numFmtId="0" fontId="17" fillId="0" borderId="127" xfId="0" applyFont="1" applyBorder="1" applyAlignment="1">
      <alignment vertical="center" wrapText="1"/>
    </xf>
    <xf numFmtId="0" fontId="10" fillId="0" borderId="123" xfId="0" applyFont="1" applyBorder="1" applyAlignment="1">
      <alignment vertical="center" wrapText="1"/>
    </xf>
    <xf numFmtId="167" fontId="10" fillId="0" borderId="123" xfId="0" applyNumberFormat="1" applyFont="1" applyBorder="1" applyAlignment="1">
      <alignment vertical="center" wrapText="1"/>
    </xf>
    <xf numFmtId="167" fontId="10" fillId="0" borderId="123" xfId="0" applyNumberFormat="1" applyFont="1" applyBorder="1" applyAlignment="1">
      <alignment vertical="center"/>
    </xf>
    <xf numFmtId="167" fontId="10" fillId="0" borderId="123" xfId="0" applyNumberFormat="1" applyFont="1" applyBorder="1" applyAlignment="1">
      <alignment horizontal="center" vertical="center"/>
    </xf>
    <xf numFmtId="167" fontId="10" fillId="0" borderId="20" xfId="0" applyNumberFormat="1" applyFont="1" applyBorder="1" applyAlignment="1">
      <alignment vertical="center" wrapText="1"/>
    </xf>
    <xf numFmtId="167" fontId="10" fillId="0" borderId="20" xfId="0" applyNumberFormat="1" applyFont="1" applyBorder="1" applyAlignment="1">
      <alignment vertical="center"/>
    </xf>
    <xf numFmtId="167" fontId="21" fillId="0" borderId="17" xfId="0" applyNumberFormat="1" applyFont="1" applyBorder="1" applyAlignment="1">
      <alignment horizontal="center" vertical="center" wrapText="1"/>
    </xf>
    <xf numFmtId="167" fontId="9" fillId="0" borderId="123" xfId="0" applyNumberFormat="1" applyFont="1" applyFill="1" applyBorder="1" applyAlignment="1">
      <alignment horizontal="center" vertical="center"/>
    </xf>
    <xf numFmtId="4" fontId="17" fillId="0" borderId="123" xfId="0" applyNumberFormat="1" applyFont="1" applyFill="1" applyBorder="1" applyAlignment="1">
      <alignment horizontal="right" vertical="center"/>
    </xf>
    <xf numFmtId="167" fontId="23" fillId="0" borderId="123" xfId="0" applyNumberFormat="1" applyFont="1" applyFill="1" applyBorder="1" applyAlignment="1">
      <alignment horizontal="center" vertical="center" wrapText="1"/>
    </xf>
    <xf numFmtId="0" fontId="15" fillId="0" borderId="123" xfId="0" applyFont="1" applyFill="1" applyBorder="1" applyAlignment="1">
      <alignment horizontal="center" vertical="center" wrapText="1"/>
    </xf>
    <xf numFmtId="178" fontId="23" fillId="0" borderId="123" xfId="0" applyNumberFormat="1" applyFont="1" applyFill="1" applyBorder="1" applyAlignment="1">
      <alignment horizontal="center" vertical="center" wrapText="1"/>
    </xf>
    <xf numFmtId="0" fontId="10" fillId="0" borderId="123" xfId="0" applyFont="1" applyFill="1" applyBorder="1" applyAlignment="1">
      <alignment vertical="center" wrapText="1"/>
    </xf>
    <xf numFmtId="167" fontId="10" fillId="0" borderId="123" xfId="0" applyNumberFormat="1" applyFont="1" applyFill="1" applyBorder="1" applyAlignment="1">
      <alignment vertical="center" wrapText="1"/>
    </xf>
    <xf numFmtId="167" fontId="10" fillId="0" borderId="123" xfId="0" applyNumberFormat="1" applyFont="1" applyFill="1" applyBorder="1" applyAlignment="1">
      <alignment vertical="center"/>
    </xf>
    <xf numFmtId="167" fontId="9" fillId="0" borderId="17" xfId="0" applyNumberFormat="1" applyFont="1" applyBorder="1" applyAlignment="1">
      <alignment horizontal="center" vertical="center"/>
    </xf>
    <xf numFmtId="167" fontId="9" fillId="0" borderId="18" xfId="0" applyNumberFormat="1" applyFont="1" applyBorder="1" applyAlignment="1">
      <alignment horizontal="center" vertical="center"/>
    </xf>
    <xf numFmtId="167" fontId="9" fillId="0" borderId="38" xfId="0" applyNumberFormat="1" applyFont="1" applyBorder="1" applyAlignment="1">
      <alignment horizontal="center" vertical="center"/>
    </xf>
    <xf numFmtId="167" fontId="24" fillId="0" borderId="128" xfId="0" applyNumberFormat="1" applyFont="1" applyBorder="1" applyAlignment="1">
      <alignment horizontal="center" vertical="center" wrapText="1"/>
    </xf>
    <xf numFmtId="172" fontId="23" fillId="0" borderId="123" xfId="0" applyNumberFormat="1" applyFont="1" applyBorder="1" applyAlignment="1">
      <alignment horizontal="center" vertical="center" wrapText="1"/>
    </xf>
    <xf numFmtId="167" fontId="9" fillId="0" borderId="103" xfId="0" applyNumberFormat="1" applyFont="1" applyBorder="1" applyAlignment="1">
      <alignment horizontal="center" vertical="center" wrapText="1"/>
    </xf>
    <xf numFmtId="0" fontId="10" fillId="0" borderId="127" xfId="0" applyFont="1" applyBorder="1" applyAlignment="1">
      <alignment horizontal="center" vertical="center"/>
    </xf>
    <xf numFmtId="167" fontId="22" fillId="0" borderId="103" xfId="0" applyNumberFormat="1" applyFont="1" applyBorder="1" applyAlignment="1">
      <alignment horizontal="center" vertical="center" wrapText="1"/>
    </xf>
    <xf numFmtId="0" fontId="22" fillId="0" borderId="102" xfId="0" applyFont="1" applyBorder="1" applyAlignment="1">
      <alignment horizontal="justify" vertical="center" wrapText="1"/>
    </xf>
    <xf numFmtId="0" fontId="9" fillId="30" borderId="22" xfId="5" applyFont="1" applyFill="1" applyBorder="1" applyAlignment="1">
      <alignment horizontal="center" vertical="center" wrapText="1"/>
    </xf>
    <xf numFmtId="0" fontId="86" fillId="0" borderId="0" xfId="0" applyFont="1" applyBorder="1" applyAlignment="1">
      <alignment wrapText="1"/>
    </xf>
    <xf numFmtId="0" fontId="9" fillId="30" borderId="21" xfId="5" applyFont="1" applyFill="1" applyBorder="1" applyAlignment="1">
      <alignment horizontal="center" vertical="center" wrapText="1"/>
    </xf>
    <xf numFmtId="0" fontId="9" fillId="0" borderId="113" xfId="0" applyFont="1" applyBorder="1" applyAlignment="1">
      <alignment horizontal="left" vertical="center" wrapText="1"/>
    </xf>
    <xf numFmtId="0" fontId="9" fillId="0" borderId="12" xfId="0" applyFont="1" applyBorder="1" applyAlignment="1">
      <alignment horizontal="center" vertical="center" wrapText="1"/>
    </xf>
    <xf numFmtId="175" fontId="9" fillId="0" borderId="12" xfId="0" applyNumberFormat="1" applyFont="1" applyBorder="1" applyAlignment="1">
      <alignment horizontal="center" vertical="center"/>
    </xf>
    <xf numFmtId="167" fontId="9" fillId="0" borderId="54" xfId="0" applyNumberFormat="1" applyFont="1" applyBorder="1" applyAlignment="1">
      <alignment horizontal="center" vertical="center" wrapText="1"/>
    </xf>
    <xf numFmtId="0" fontId="9" fillId="30" borderId="19" xfId="5" applyFont="1" applyFill="1" applyBorder="1" applyAlignment="1">
      <alignment horizontal="center" vertical="center" wrapText="1"/>
    </xf>
    <xf numFmtId="0" fontId="9" fillId="0" borderId="20" xfId="0" applyFont="1" applyBorder="1" applyAlignment="1">
      <alignment horizontal="center" vertical="center" wrapText="1"/>
    </xf>
    <xf numFmtId="175" fontId="9" fillId="0" borderId="20" xfId="0" applyNumberFormat="1" applyFont="1" applyBorder="1" applyAlignment="1">
      <alignment horizontal="center" vertical="center"/>
    </xf>
    <xf numFmtId="167" fontId="9" fillId="0" borderId="26" xfId="0" applyNumberFormat="1" applyFont="1" applyBorder="1" applyAlignment="1">
      <alignment horizontal="center" vertical="center" wrapText="1"/>
    </xf>
    <xf numFmtId="0" fontId="31" fillId="30" borderId="21" xfId="5" applyFont="1" applyFill="1" applyBorder="1" applyAlignment="1">
      <alignment horizontal="center" vertical="center" wrapText="1"/>
    </xf>
    <xf numFmtId="175" fontId="23" fillId="0" borderId="12" xfId="0" applyNumberFormat="1" applyFont="1" applyBorder="1" applyAlignment="1">
      <alignment horizontal="center" vertical="center"/>
    </xf>
    <xf numFmtId="0" fontId="9" fillId="0" borderId="33" xfId="0" applyFont="1" applyBorder="1" applyAlignment="1">
      <alignment horizontal="center" vertical="center" wrapText="1"/>
    </xf>
    <xf numFmtId="0" fontId="9" fillId="0" borderId="40" xfId="0" applyFont="1" applyBorder="1" applyAlignment="1">
      <alignment wrapText="1"/>
    </xf>
    <xf numFmtId="2" fontId="9" fillId="0" borderId="40" xfId="0" applyNumberFormat="1" applyFont="1" applyBorder="1" applyAlignment="1">
      <alignment horizontal="center" vertical="center"/>
    </xf>
    <xf numFmtId="4" fontId="22" fillId="6" borderId="40" xfId="0" applyNumberFormat="1" applyFont="1" applyFill="1" applyBorder="1" applyAlignment="1">
      <alignment horizontal="right" vertical="center"/>
    </xf>
    <xf numFmtId="167" fontId="22" fillId="0" borderId="36" xfId="0" applyNumberFormat="1" applyFont="1" applyBorder="1" applyAlignment="1">
      <alignment horizontal="center" vertical="center" wrapText="1"/>
    </xf>
    <xf numFmtId="167" fontId="22" fillId="2" borderId="34" xfId="0" applyNumberFormat="1" applyFont="1" applyFill="1" applyBorder="1" applyAlignment="1">
      <alignment horizontal="center" vertical="center"/>
    </xf>
    <xf numFmtId="2" fontId="17" fillId="5" borderId="51" xfId="3" applyNumberFormat="1" applyFont="1" applyFill="1" applyBorder="1" applyAlignment="1">
      <alignment vertical="center"/>
    </xf>
    <xf numFmtId="0" fontId="10" fillId="0" borderId="127" xfId="0" applyFont="1" applyFill="1" applyBorder="1" applyAlignment="1">
      <alignment horizontal="center" vertical="center"/>
    </xf>
    <xf numFmtId="173" fontId="15" fillId="0" borderId="123" xfId="1" applyNumberFormat="1" applyFont="1" applyBorder="1" applyAlignment="1">
      <alignment horizontal="center" vertical="center"/>
    </xf>
    <xf numFmtId="0" fontId="17" fillId="33" borderId="42" xfId="0" applyFont="1" applyFill="1" applyBorder="1" applyAlignment="1">
      <alignment horizontal="center" vertical="center"/>
    </xf>
    <xf numFmtId="0" fontId="7" fillId="33" borderId="18" xfId="0" quotePrefix="1" applyFont="1" applyFill="1" applyBorder="1" applyAlignment="1">
      <alignment horizontal="center" vertical="center"/>
    </xf>
    <xf numFmtId="0" fontId="7" fillId="33" borderId="18" xfId="0" applyFont="1" applyFill="1" applyBorder="1" applyAlignment="1">
      <alignment horizontal="left" vertical="center" wrapText="1"/>
    </xf>
    <xf numFmtId="0" fontId="29" fillId="33" borderId="18" xfId="0" applyNumberFormat="1" applyFont="1" applyFill="1" applyBorder="1" applyAlignment="1">
      <alignment horizontal="center" vertical="center" wrapText="1"/>
    </xf>
    <xf numFmtId="2" fontId="7" fillId="33" borderId="18" xfId="0" applyNumberFormat="1" applyFont="1" applyFill="1" applyBorder="1" applyAlignment="1">
      <alignment horizontal="right" vertical="center" wrapText="1"/>
    </xf>
    <xf numFmtId="167" fontId="10" fillId="33" borderId="25" xfId="0" applyNumberFormat="1" applyFont="1" applyFill="1" applyBorder="1" applyAlignment="1">
      <alignment horizontal="right" vertical="center" wrapText="1"/>
    </xf>
    <xf numFmtId="4" fontId="7" fillId="33" borderId="18" xfId="0" applyNumberFormat="1" applyFont="1" applyFill="1" applyBorder="1" applyAlignment="1">
      <alignment horizontal="right" vertical="center" wrapText="1"/>
    </xf>
    <xf numFmtId="4" fontId="10" fillId="33" borderId="80" xfId="0" applyNumberFormat="1" applyFont="1" applyFill="1" applyBorder="1" applyAlignment="1">
      <alignment horizontal="right" vertical="center"/>
    </xf>
    <xf numFmtId="4" fontId="10" fillId="33" borderId="46" xfId="0" applyNumberFormat="1" applyFont="1" applyFill="1" applyBorder="1" applyAlignment="1">
      <alignment horizontal="right" vertical="center"/>
    </xf>
    <xf numFmtId="4" fontId="7" fillId="36" borderId="14" xfId="0" applyNumberFormat="1" applyFont="1" applyFill="1" applyBorder="1" applyAlignment="1">
      <alignment horizontal="center" vertical="center" wrapText="1"/>
    </xf>
    <xf numFmtId="0" fontId="10" fillId="0" borderId="123" xfId="0" applyFont="1" applyBorder="1" applyAlignment="1">
      <alignment horizontal="center" vertical="center"/>
    </xf>
    <xf numFmtId="0" fontId="10" fillId="0" borderId="123" xfId="0" applyNumberFormat="1" applyFont="1" applyBorder="1" applyAlignment="1">
      <alignment horizontal="center" vertical="center"/>
    </xf>
    <xf numFmtId="0" fontId="15" fillId="0" borderId="0" xfId="0" applyFont="1" applyBorder="1" applyAlignment="1">
      <alignment horizontal="center" vertical="center"/>
    </xf>
    <xf numFmtId="0" fontId="17" fillId="0" borderId="21" xfId="0" applyFont="1" applyBorder="1" applyAlignment="1">
      <alignment vertical="center" wrapText="1"/>
    </xf>
    <xf numFmtId="171" fontId="23" fillId="0" borderId="123" xfId="0" applyNumberFormat="1" applyFont="1" applyFill="1" applyBorder="1" applyAlignment="1">
      <alignment horizontal="center" vertical="center" wrapText="1"/>
    </xf>
    <xf numFmtId="0" fontId="17" fillId="4" borderId="19" xfId="0" applyFont="1" applyFill="1" applyBorder="1" applyAlignment="1">
      <alignment vertical="center"/>
    </xf>
    <xf numFmtId="0" fontId="17" fillId="0" borderId="20" xfId="0" applyFont="1" applyBorder="1" applyAlignment="1">
      <alignment horizontal="justify" vertical="center" wrapText="1"/>
    </xf>
    <xf numFmtId="0" fontId="17" fillId="0" borderId="20" xfId="0" applyFont="1" applyBorder="1" applyAlignment="1">
      <alignment horizontal="center" vertical="center" wrapText="1"/>
    </xf>
    <xf numFmtId="171" fontId="17" fillId="0" borderId="20" xfId="0" applyNumberFormat="1" applyFont="1" applyBorder="1" applyAlignment="1">
      <alignment horizontal="center" vertical="center" wrapText="1"/>
    </xf>
    <xf numFmtId="167" fontId="17" fillId="0" borderId="20" xfId="0" applyNumberFormat="1" applyFont="1" applyBorder="1" applyAlignment="1">
      <alignment horizontal="center" vertical="center" wrapText="1"/>
    </xf>
    <xf numFmtId="167" fontId="17" fillId="0" borderId="38"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21" fillId="0" borderId="20" xfId="0" applyFont="1" applyBorder="1" applyAlignment="1">
      <alignment horizontal="center" vertical="center"/>
    </xf>
    <xf numFmtId="0" fontId="24" fillId="0" borderId="38" xfId="0" applyFont="1" applyBorder="1" applyAlignment="1">
      <alignment horizontal="center" vertical="center" wrapText="1"/>
    </xf>
    <xf numFmtId="172" fontId="23" fillId="0" borderId="20" xfId="0" applyNumberFormat="1" applyFont="1" applyBorder="1" applyAlignment="1">
      <alignment horizontal="center" vertical="center" wrapText="1"/>
    </xf>
    <xf numFmtId="0" fontId="17" fillId="0" borderId="19" xfId="0" applyFont="1" applyBorder="1" applyAlignment="1">
      <alignment vertical="center" wrapText="1"/>
    </xf>
    <xf numFmtId="0" fontId="10" fillId="0" borderId="20" xfId="0" applyFont="1" applyBorder="1" applyAlignment="1">
      <alignment vertical="center" wrapText="1"/>
    </xf>
    <xf numFmtId="167" fontId="24" fillId="0" borderId="38" xfId="0" applyNumberFormat="1" applyFont="1" applyBorder="1" applyAlignment="1">
      <alignment horizontal="center" vertical="center" wrapText="1"/>
    </xf>
    <xf numFmtId="0" fontId="60" fillId="0" borderId="0" xfId="0" applyFont="1" applyAlignment="1">
      <alignment horizontal="center" vertical="center"/>
    </xf>
    <xf numFmtId="0" fontId="23" fillId="0" borderId="0" xfId="0" applyFont="1" applyAlignment="1">
      <alignment horizontal="center"/>
    </xf>
    <xf numFmtId="2" fontId="23" fillId="0" borderId="0" xfId="0" applyNumberFormat="1" applyFont="1" applyAlignment="1">
      <alignment horizontal="center"/>
    </xf>
    <xf numFmtId="0" fontId="23" fillId="0" borderId="4" xfId="0" applyFont="1" applyBorder="1" applyAlignment="1">
      <alignment horizontal="left" vertical="center"/>
    </xf>
    <xf numFmtId="0" fontId="10" fillId="0" borderId="12" xfId="0" applyFont="1" applyBorder="1" applyAlignment="1">
      <alignment horizontal="center" vertical="center" wrapText="1"/>
    </xf>
    <xf numFmtId="0" fontId="10" fillId="0" borderId="34" xfId="3" applyFont="1" applyFill="1" applyBorder="1" applyAlignment="1">
      <alignment horizontal="center" vertical="center" wrapText="1"/>
    </xf>
    <xf numFmtId="0" fontId="24" fillId="0" borderId="0" xfId="0" applyFont="1" applyBorder="1" applyAlignment="1">
      <alignment horizontal="right" vertical="center"/>
    </xf>
    <xf numFmtId="0" fontId="23" fillId="0" borderId="115" xfId="0" applyFont="1" applyBorder="1" applyAlignment="1"/>
    <xf numFmtId="0" fontId="23" fillId="0" borderId="114" xfId="0" applyFont="1" applyBorder="1" applyAlignment="1"/>
    <xf numFmtId="0" fontId="10" fillId="0" borderId="102" xfId="0" applyFont="1" applyBorder="1" applyAlignment="1">
      <alignment horizontal="justify" vertical="center" wrapText="1"/>
    </xf>
    <xf numFmtId="167" fontId="17" fillId="0" borderId="103" xfId="0" applyNumberFormat="1" applyFont="1" applyBorder="1" applyAlignment="1">
      <alignment horizontal="center" vertical="center" wrapText="1"/>
    </xf>
    <xf numFmtId="0" fontId="17" fillId="0" borderId="102" xfId="0" applyFont="1" applyBorder="1" applyAlignment="1">
      <alignment horizontal="justify" vertical="center" wrapText="1"/>
    </xf>
    <xf numFmtId="0" fontId="10" fillId="0" borderId="35" xfId="0" applyFont="1" applyBorder="1" applyAlignment="1">
      <alignment horizontal="center" vertical="center"/>
    </xf>
    <xf numFmtId="2" fontId="10" fillId="0" borderId="40" xfId="0" applyNumberFormat="1" applyFont="1" applyBorder="1" applyAlignment="1">
      <alignment horizontal="center" vertical="center"/>
    </xf>
    <xf numFmtId="4" fontId="17" fillId="6" borderId="40" xfId="0" applyNumberFormat="1" applyFont="1" applyFill="1" applyBorder="1" applyAlignment="1">
      <alignment horizontal="right" vertical="center"/>
    </xf>
    <xf numFmtId="0" fontId="9" fillId="0" borderId="127" xfId="0" applyFont="1" applyFill="1" applyBorder="1" applyAlignment="1">
      <alignment horizontal="center" vertical="center"/>
    </xf>
    <xf numFmtId="0" fontId="9" fillId="0" borderId="123" xfId="0" quotePrefix="1" applyFont="1" applyBorder="1" applyAlignment="1">
      <alignment horizontal="left" vertical="center" wrapText="1"/>
    </xf>
    <xf numFmtId="167" fontId="15" fillId="0" borderId="14" xfId="0" applyNumberFormat="1" applyFont="1" applyBorder="1" applyAlignment="1">
      <alignment horizontal="center" vertical="center" wrapText="1"/>
    </xf>
    <xf numFmtId="0" fontId="15" fillId="0" borderId="19" xfId="0" applyFont="1" applyBorder="1" applyAlignment="1">
      <alignment vertical="center"/>
    </xf>
    <xf numFmtId="171" fontId="9" fillId="0" borderId="6" xfId="0" applyNumberFormat="1" applyFont="1" applyBorder="1" applyAlignment="1">
      <alignment horizontal="center" vertical="center"/>
    </xf>
    <xf numFmtId="0" fontId="23" fillId="0" borderId="42" xfId="0" applyFont="1" applyBorder="1" applyAlignment="1">
      <alignment horizontal="center" vertical="center"/>
    </xf>
    <xf numFmtId="0" fontId="17" fillId="6" borderId="55" xfId="0" applyFont="1" applyFill="1" applyBorder="1" applyAlignment="1">
      <alignment horizontal="center" vertical="center" wrapText="1"/>
    </xf>
    <xf numFmtId="0" fontId="15" fillId="0" borderId="42" xfId="0" applyFont="1" applyBorder="1" applyAlignment="1">
      <alignment vertical="center"/>
    </xf>
    <xf numFmtId="0" fontId="14" fillId="0" borderId="123" xfId="0" applyFont="1" applyBorder="1" applyAlignment="1">
      <alignment horizontal="center" vertical="center" wrapText="1"/>
    </xf>
    <xf numFmtId="171" fontId="15" fillId="0" borderId="123" xfId="0" applyNumberFormat="1" applyFont="1" applyBorder="1" applyAlignment="1">
      <alignment horizontal="center" vertical="center" wrapText="1"/>
    </xf>
    <xf numFmtId="172" fontId="9" fillId="0" borderId="12" xfId="0" applyNumberFormat="1" applyFont="1" applyBorder="1" applyAlignment="1">
      <alignment horizontal="center" vertical="center"/>
    </xf>
    <xf numFmtId="0" fontId="23" fillId="0" borderId="19" xfId="0" applyFont="1" applyFill="1" applyBorder="1" applyAlignment="1">
      <alignment horizontal="center" vertical="center"/>
    </xf>
    <xf numFmtId="0" fontId="23" fillId="0" borderId="31" xfId="0" applyFont="1" applyBorder="1" applyAlignment="1">
      <alignment horizontal="left" vertical="center" wrapText="1"/>
    </xf>
    <xf numFmtId="0" fontId="21" fillId="0" borderId="31" xfId="0" applyFont="1" applyBorder="1" applyAlignment="1">
      <alignment horizontal="left" vertical="center" wrapText="1"/>
    </xf>
    <xf numFmtId="0" fontId="15" fillId="0" borderId="5" xfId="0" applyFont="1" applyBorder="1" applyAlignment="1">
      <alignment horizontal="center" vertical="center" wrapText="1"/>
    </xf>
    <xf numFmtId="0" fontId="23" fillId="0" borderId="113" xfId="0" applyFont="1" applyBorder="1"/>
    <xf numFmtId="0" fontId="16" fillId="0" borderId="113" xfId="0" applyFont="1" applyBorder="1"/>
    <xf numFmtId="0" fontId="24" fillId="0" borderId="10" xfId="0" applyFont="1" applyBorder="1"/>
    <xf numFmtId="14" fontId="9" fillId="0" borderId="11" xfId="0" applyNumberFormat="1" applyFont="1" applyBorder="1" applyAlignment="1">
      <alignment horizontal="center" vertical="center"/>
    </xf>
    <xf numFmtId="2" fontId="9" fillId="0" borderId="120" xfId="0" applyNumberFormat="1" applyFont="1" applyBorder="1" applyAlignment="1">
      <alignment horizontal="center" vertical="center"/>
    </xf>
    <xf numFmtId="2" fontId="9" fillId="0" borderId="20" xfId="0" applyNumberFormat="1" applyFont="1" applyBorder="1" applyAlignment="1">
      <alignment horizontal="center" vertical="center"/>
    </xf>
    <xf numFmtId="14" fontId="9" fillId="0" borderId="21" xfId="0" applyNumberFormat="1" applyFont="1" applyBorder="1" applyAlignment="1">
      <alignment horizontal="center" vertical="center"/>
    </xf>
    <xf numFmtId="0" fontId="9" fillId="0" borderId="120" xfId="0" applyFont="1" applyBorder="1" applyAlignment="1">
      <alignment horizontal="left" vertical="center" wrapText="1"/>
    </xf>
    <xf numFmtId="14" fontId="9" fillId="0" borderId="104" xfId="0" applyNumberFormat="1" applyFont="1" applyBorder="1" applyAlignment="1">
      <alignment horizontal="center" vertical="center"/>
    </xf>
    <xf numFmtId="0" fontId="9" fillId="0" borderId="133" xfId="0" applyFont="1" applyBorder="1" applyAlignment="1">
      <alignment horizontal="left" vertical="center" wrapText="1"/>
    </xf>
    <xf numFmtId="2" fontId="9" fillId="0" borderId="133" xfId="0" applyNumberFormat="1" applyFont="1" applyBorder="1" applyAlignment="1">
      <alignment horizontal="center" vertical="center"/>
    </xf>
    <xf numFmtId="0" fontId="23" fillId="0" borderId="124" xfId="0" applyFont="1" applyBorder="1" applyAlignment="1">
      <alignment horizontal="center" vertical="center" wrapText="1"/>
    </xf>
    <xf numFmtId="14" fontId="9" fillId="0" borderId="133" xfId="0" applyNumberFormat="1" applyFont="1" applyBorder="1" applyAlignment="1">
      <alignment horizontal="left" vertical="center" wrapText="1"/>
    </xf>
    <xf numFmtId="4" fontId="22" fillId="6" borderId="133" xfId="0" applyNumberFormat="1" applyFont="1" applyFill="1" applyBorder="1" applyAlignment="1">
      <alignment horizontal="right" vertical="center"/>
    </xf>
    <xf numFmtId="0" fontId="22" fillId="5" borderId="18" xfId="3" applyFont="1" applyFill="1" applyBorder="1" applyAlignment="1">
      <alignment vertical="center"/>
    </xf>
    <xf numFmtId="0" fontId="22" fillId="5" borderId="18" xfId="3" applyFont="1" applyFill="1" applyBorder="1" applyAlignment="1">
      <alignment horizontal="right" vertical="center"/>
    </xf>
    <xf numFmtId="2" fontId="22" fillId="5" borderId="46" xfId="3" applyNumberFormat="1" applyFont="1" applyFill="1" applyBorder="1" applyAlignment="1">
      <alignment vertical="center"/>
    </xf>
    <xf numFmtId="0" fontId="0" fillId="0" borderId="0" xfId="0" applyAlignment="1">
      <alignment horizontal="center" vertical="center" wrapText="1"/>
    </xf>
    <xf numFmtId="0" fontId="16" fillId="0" borderId="0" xfId="0" applyFont="1" applyAlignment="1">
      <alignment horizontal="center" vertical="center"/>
    </xf>
    <xf numFmtId="0" fontId="106" fillId="0" borderId="0" xfId="0" applyFont="1" applyAlignment="1">
      <alignment horizontal="center" vertical="center" wrapText="1"/>
    </xf>
    <xf numFmtId="167" fontId="15" fillId="0" borderId="0" xfId="0" applyNumberFormat="1" applyFont="1" applyFill="1" applyBorder="1" applyAlignment="1">
      <alignment horizontal="center" vertical="center" wrapText="1"/>
    </xf>
    <xf numFmtId="0" fontId="0" fillId="0" borderId="0" xfId="0" applyAlignment="1">
      <alignment wrapText="1"/>
    </xf>
    <xf numFmtId="2" fontId="9" fillId="0" borderId="123" xfId="0" applyNumberFormat="1" applyFont="1" applyBorder="1" applyAlignment="1">
      <alignment horizontal="center" vertical="center"/>
    </xf>
    <xf numFmtId="167" fontId="15" fillId="0" borderId="0" xfId="0" applyNumberFormat="1" applyFont="1" applyAlignment="1">
      <alignment horizontal="left" vertical="center"/>
    </xf>
    <xf numFmtId="0" fontId="9" fillId="0" borderId="124" xfId="56" applyFont="1" applyBorder="1" applyAlignment="1">
      <alignment horizontal="center" vertical="center" wrapText="1"/>
    </xf>
    <xf numFmtId="2" fontId="15" fillId="0" borderId="123" xfId="0" applyNumberFormat="1" applyFont="1" applyBorder="1" applyAlignment="1">
      <alignment horizontal="center" vertical="center" wrapText="1"/>
    </xf>
    <xf numFmtId="167" fontId="10" fillId="0" borderId="103" xfId="0" applyNumberFormat="1" applyFont="1" applyBorder="1" applyAlignment="1">
      <alignment horizontal="center" vertical="center" wrapText="1"/>
    </xf>
    <xf numFmtId="2" fontId="9" fillId="0" borderId="55" xfId="0" applyNumberFormat="1" applyFont="1" applyBorder="1" applyAlignment="1">
      <alignment horizontal="center" vertical="center"/>
    </xf>
    <xf numFmtId="0" fontId="24" fillId="0" borderId="104" xfId="0" applyFont="1" applyBorder="1" applyAlignment="1">
      <alignment horizontal="center" vertical="center" wrapText="1"/>
    </xf>
    <xf numFmtId="0" fontId="17" fillId="6" borderId="133" xfId="0" applyFont="1" applyFill="1" applyBorder="1" applyAlignment="1">
      <alignment horizontal="center" vertical="center" wrapText="1"/>
    </xf>
    <xf numFmtId="0" fontId="21" fillId="0" borderId="133" xfId="0" applyFont="1" applyBorder="1" applyAlignment="1">
      <alignment horizontal="center" vertical="center"/>
    </xf>
    <xf numFmtId="0" fontId="24" fillId="0" borderId="124" xfId="0" applyFont="1" applyBorder="1" applyAlignment="1">
      <alignment horizontal="center" vertical="center" wrapText="1"/>
    </xf>
    <xf numFmtId="0" fontId="23" fillId="0" borderId="16" xfId="0" applyFont="1" applyBorder="1"/>
    <xf numFmtId="0" fontId="9" fillId="0" borderId="133" xfId="0" applyFont="1" applyBorder="1" applyAlignment="1">
      <alignment horizontal="center" vertical="center"/>
    </xf>
    <xf numFmtId="0" fontId="9" fillId="0" borderId="133" xfId="0" applyFont="1" applyBorder="1" applyAlignment="1">
      <alignment horizontal="center" vertical="center"/>
    </xf>
    <xf numFmtId="0" fontId="107" fillId="0" borderId="14" xfId="56" applyFont="1" applyBorder="1" applyAlignment="1">
      <alignment horizontal="center" vertical="center" wrapText="1"/>
    </xf>
    <xf numFmtId="2" fontId="22" fillId="0" borderId="131" xfId="0" applyNumberFormat="1" applyFont="1" applyBorder="1" applyAlignment="1">
      <alignment horizontal="center" vertical="center"/>
    </xf>
    <xf numFmtId="164" fontId="63" fillId="0" borderId="31" xfId="0" applyNumberFormat="1" applyFont="1" applyBorder="1" applyAlignment="1">
      <alignment vertical="center"/>
    </xf>
    <xf numFmtId="164" fontId="63" fillId="0" borderId="0" xfId="0" applyNumberFormat="1" applyFont="1" applyBorder="1" applyAlignment="1">
      <alignment vertical="center"/>
    </xf>
    <xf numFmtId="14" fontId="10" fillId="0" borderId="11" xfId="0" applyNumberFormat="1" applyFont="1" applyBorder="1" applyAlignment="1">
      <alignment horizontal="right" vertical="center" wrapText="1"/>
    </xf>
    <xf numFmtId="167" fontId="9" fillId="0" borderId="133" xfId="0" applyNumberFormat="1" applyFont="1" applyBorder="1" applyAlignment="1">
      <alignment horizontal="center" vertical="center"/>
    </xf>
    <xf numFmtId="167" fontId="9" fillId="0" borderId="120" xfId="0" applyNumberFormat="1" applyFont="1" applyBorder="1" applyAlignment="1">
      <alignment horizontal="center" vertical="center"/>
    </xf>
    <xf numFmtId="2" fontId="9" fillId="6" borderId="133" xfId="0" applyNumberFormat="1" applyFont="1" applyFill="1" applyBorder="1" applyAlignment="1">
      <alignment horizontal="center" vertical="center" wrapText="1"/>
    </xf>
    <xf numFmtId="0" fontId="9" fillId="6" borderId="133" xfId="0" applyFont="1" applyFill="1" applyBorder="1" applyAlignment="1">
      <alignment horizontal="center" vertical="center" wrapText="1"/>
    </xf>
    <xf numFmtId="0" fontId="35" fillId="0" borderId="14" xfId="0" applyFont="1" applyBorder="1" applyAlignment="1">
      <alignment horizontal="center" vertical="center" wrapText="1"/>
    </xf>
    <xf numFmtId="0" fontId="108" fillId="0" borderId="14" xfId="0" applyFont="1" applyBorder="1" applyAlignment="1">
      <alignment horizontal="center" vertical="center" wrapText="1"/>
    </xf>
    <xf numFmtId="0" fontId="109" fillId="0" borderId="14" xfId="56" applyFont="1" applyBorder="1" applyAlignment="1">
      <alignment horizontal="center" vertical="center" wrapText="1"/>
    </xf>
    <xf numFmtId="0" fontId="110" fillId="0" borderId="14" xfId="56" applyFont="1" applyBorder="1" applyAlignment="1">
      <alignment horizontal="center" vertical="center" wrapText="1"/>
    </xf>
    <xf numFmtId="0" fontId="18" fillId="0" borderId="14" xfId="56" applyFont="1" applyBorder="1" applyAlignment="1">
      <alignment horizontal="center" vertical="center" wrapText="1"/>
    </xf>
    <xf numFmtId="0" fontId="111" fillId="0" borderId="14" xfId="56" applyFont="1" applyBorder="1" applyAlignment="1">
      <alignment horizontal="center" vertical="center" wrapText="1"/>
    </xf>
    <xf numFmtId="0" fontId="111" fillId="0" borderId="128" xfId="56" applyFont="1" applyBorder="1" applyAlignment="1">
      <alignment horizontal="center" vertical="center" wrapText="1"/>
    </xf>
    <xf numFmtId="167" fontId="9" fillId="0" borderId="133" xfId="0" applyNumberFormat="1" applyFont="1" applyFill="1" applyBorder="1" applyAlignment="1">
      <alignment horizontal="center" vertical="center"/>
    </xf>
    <xf numFmtId="0" fontId="35" fillId="0" borderId="17" xfId="0" applyFont="1" applyBorder="1" applyAlignment="1">
      <alignment horizontal="center" vertical="center" wrapText="1"/>
    </xf>
    <xf numFmtId="0" fontId="35" fillId="0" borderId="38" xfId="0" applyFont="1" applyBorder="1" applyAlignment="1">
      <alignment horizontal="center" vertical="center" wrapText="1"/>
    </xf>
    <xf numFmtId="0" fontId="9" fillId="0" borderId="104" xfId="0" applyFont="1" applyBorder="1" applyAlignment="1">
      <alignment horizontal="center" vertical="center"/>
    </xf>
    <xf numFmtId="0" fontId="15" fillId="0" borderId="133" xfId="0" applyFont="1" applyBorder="1" applyAlignment="1">
      <alignment horizontal="center" vertical="center" wrapText="1"/>
    </xf>
    <xf numFmtId="172" fontId="23" fillId="0" borderId="133" xfId="0" applyNumberFormat="1" applyFont="1" applyBorder="1" applyAlignment="1">
      <alignment horizontal="center" vertical="center" wrapText="1"/>
    </xf>
    <xf numFmtId="0" fontId="10" fillId="0" borderId="133" xfId="0" quotePrefix="1" applyFont="1" applyBorder="1" applyAlignment="1">
      <alignment horizontal="center" vertical="center"/>
    </xf>
    <xf numFmtId="0" fontId="23" fillId="0" borderId="104" xfId="0" applyFont="1" applyBorder="1" applyAlignment="1">
      <alignment horizontal="center" vertical="center"/>
    </xf>
    <xf numFmtId="2" fontId="9" fillId="0" borderId="133" xfId="0" applyNumberFormat="1" applyFont="1" applyFill="1" applyBorder="1" applyAlignment="1">
      <alignment horizontal="center" vertical="center"/>
    </xf>
    <xf numFmtId="4" fontId="9" fillId="0" borderId="133" xfId="0" applyNumberFormat="1" applyFont="1" applyFill="1" applyBorder="1" applyAlignment="1">
      <alignment horizontal="center" vertical="center" wrapText="1"/>
    </xf>
    <xf numFmtId="0" fontId="10" fillId="0" borderId="133" xfId="1" applyNumberFormat="1" applyFont="1" applyFill="1" applyBorder="1" applyAlignment="1">
      <alignment horizontal="center" vertical="center"/>
    </xf>
    <xf numFmtId="0" fontId="10" fillId="0" borderId="133" xfId="1" applyNumberFormat="1" applyFont="1" applyFill="1" applyBorder="1" applyAlignment="1">
      <alignment horizontal="left" vertical="center" wrapText="1"/>
    </xf>
    <xf numFmtId="2" fontId="10" fillId="0" borderId="133" xfId="0" applyNumberFormat="1" applyFont="1" applyFill="1" applyBorder="1" applyAlignment="1">
      <alignment horizontal="right" vertical="center" wrapText="1"/>
    </xf>
    <xf numFmtId="0" fontId="10" fillId="0" borderId="133" xfId="0" applyFont="1" applyBorder="1" applyAlignment="1">
      <alignment horizontal="left" vertical="center" wrapText="1"/>
    </xf>
    <xf numFmtId="173" fontId="10" fillId="0" borderId="133" xfId="1" applyNumberFormat="1" applyFont="1" applyFill="1" applyBorder="1" applyAlignment="1">
      <alignment horizontal="left" vertical="center" wrapText="1"/>
    </xf>
    <xf numFmtId="173" fontId="15" fillId="0" borderId="133" xfId="1" applyNumberFormat="1" applyFont="1" applyBorder="1" applyAlignment="1">
      <alignment horizontal="center" vertical="center"/>
    </xf>
    <xf numFmtId="2" fontId="10" fillId="0" borderId="133" xfId="0" applyNumberFormat="1" applyFont="1" applyFill="1" applyBorder="1" applyAlignment="1">
      <alignment horizontal="right" vertical="center"/>
    </xf>
    <xf numFmtId="0" fontId="15" fillId="0" borderId="133" xfId="0" applyFont="1" applyBorder="1" applyAlignment="1">
      <alignment horizontal="left" vertical="center" wrapText="1"/>
    </xf>
    <xf numFmtId="0" fontId="8" fillId="0" borderId="133" xfId="0" quotePrefix="1" applyFont="1" applyBorder="1" applyAlignment="1">
      <alignment horizontal="center" vertical="center"/>
    </xf>
    <xf numFmtId="2" fontId="10" fillId="0" borderId="120" xfId="0" applyNumberFormat="1" applyFont="1" applyFill="1" applyBorder="1" applyAlignment="1">
      <alignment horizontal="right" vertical="center" wrapText="1"/>
    </xf>
    <xf numFmtId="0" fontId="10" fillId="0" borderId="133" xfId="0" applyFont="1" applyBorder="1" applyAlignment="1">
      <alignment horizontal="center" vertical="center"/>
    </xf>
    <xf numFmtId="0" fontId="27" fillId="0" borderId="133" xfId="0" applyFont="1" applyBorder="1" applyAlignment="1">
      <alignment horizontal="center" vertical="center"/>
    </xf>
    <xf numFmtId="167" fontId="10" fillId="0" borderId="133" xfId="0" applyNumberFormat="1" applyFont="1" applyFill="1" applyBorder="1" applyAlignment="1">
      <alignment horizontal="right" vertical="center"/>
    </xf>
    <xf numFmtId="4" fontId="10" fillId="0" borderId="133" xfId="0" applyNumberFormat="1" applyFont="1" applyFill="1" applyBorder="1" applyAlignment="1">
      <alignment horizontal="right" vertical="center"/>
    </xf>
    <xf numFmtId="0" fontId="84" fillId="0" borderId="133" xfId="0" applyFont="1" applyBorder="1" applyAlignment="1">
      <alignment horizontal="left" vertical="center" wrapText="1"/>
    </xf>
    <xf numFmtId="0" fontId="10" fillId="0" borderId="120" xfId="0" quotePrefix="1" applyFont="1" applyFill="1" applyBorder="1" applyAlignment="1">
      <alignment horizontal="center" vertical="center"/>
    </xf>
    <xf numFmtId="0" fontId="10" fillId="0" borderId="120" xfId="0" applyFont="1" applyFill="1" applyBorder="1" applyAlignment="1">
      <alignment horizontal="left" vertical="center" wrapText="1"/>
    </xf>
    <xf numFmtId="0" fontId="10" fillId="0" borderId="120" xfId="0" applyFont="1" applyFill="1" applyBorder="1" applyAlignment="1">
      <alignment horizontal="center" vertical="center" wrapText="1"/>
    </xf>
    <xf numFmtId="2" fontId="0" fillId="0" borderId="0" xfId="0" applyNumberFormat="1" applyAlignment="1">
      <alignment horizontal="center" vertical="center" wrapText="1"/>
    </xf>
    <xf numFmtId="0" fontId="10" fillId="0" borderId="134" xfId="0" applyFont="1" applyBorder="1" applyAlignment="1">
      <alignment horizontal="center" vertical="center"/>
    </xf>
    <xf numFmtId="0" fontId="10" fillId="0" borderId="133" xfId="0" applyFont="1" applyFill="1" applyBorder="1" applyAlignment="1">
      <alignment horizontal="left" vertical="center" wrapText="1"/>
    </xf>
    <xf numFmtId="2" fontId="10" fillId="0" borderId="120" xfId="0" applyNumberFormat="1" applyFont="1" applyFill="1" applyBorder="1" applyAlignment="1">
      <alignment horizontal="right" vertical="center"/>
    </xf>
    <xf numFmtId="2" fontId="10" fillId="0" borderId="133" xfId="0" applyNumberFormat="1" applyFont="1" applyFill="1" applyBorder="1" applyAlignment="1">
      <alignment vertical="center"/>
    </xf>
    <xf numFmtId="166" fontId="22" fillId="0" borderId="28" xfId="0" applyNumberFormat="1" applyFont="1" applyBorder="1" applyAlignment="1">
      <alignment horizontal="center" vertical="center" wrapText="1"/>
    </xf>
    <xf numFmtId="0" fontId="9" fillId="0" borderId="6" xfId="0" applyFont="1" applyBorder="1" applyAlignment="1">
      <alignment horizontal="left" vertical="center"/>
    </xf>
    <xf numFmtId="2" fontId="9" fillId="0" borderId="6" xfId="1" applyNumberFormat="1" applyFont="1" applyFill="1" applyBorder="1" applyAlignment="1">
      <alignment horizontal="center" vertical="center"/>
    </xf>
    <xf numFmtId="4" fontId="9" fillId="0" borderId="6" xfId="2" applyNumberFormat="1" applyFont="1" applyFill="1" applyBorder="1" applyAlignment="1" applyProtection="1">
      <alignment horizontal="center" vertical="center"/>
      <protection locked="0"/>
    </xf>
    <xf numFmtId="165" fontId="9" fillId="0" borderId="6" xfId="0" applyNumberFormat="1" applyFont="1" applyBorder="1" applyAlignment="1">
      <alignment horizontal="center" vertical="center"/>
    </xf>
    <xf numFmtId="10" fontId="9" fillId="0" borderId="6" xfId="0" applyNumberFormat="1" applyFont="1" applyFill="1" applyBorder="1" applyAlignment="1">
      <alignment horizontal="center" vertical="center"/>
    </xf>
    <xf numFmtId="10" fontId="9" fillId="0" borderId="13" xfId="0" applyNumberFormat="1" applyFont="1" applyBorder="1" applyAlignment="1">
      <alignment vertical="center"/>
    </xf>
    <xf numFmtId="10" fontId="9" fillId="0" borderId="6" xfId="0" applyNumberFormat="1" applyFont="1" applyBorder="1" applyAlignment="1">
      <alignment horizontal="center" vertical="center"/>
    </xf>
    <xf numFmtId="0" fontId="9" fillId="0" borderId="6" xfId="0" applyFont="1" applyFill="1" applyBorder="1" applyAlignment="1">
      <alignment horizontal="justify" vertical="center" wrapText="1"/>
    </xf>
    <xf numFmtId="166" fontId="22" fillId="0" borderId="28" xfId="0"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22" fillId="4" borderId="20" xfId="0" applyFont="1" applyFill="1" applyBorder="1" applyAlignment="1">
      <alignment horizontal="right" vertical="center"/>
    </xf>
    <xf numFmtId="165" fontId="22" fillId="0" borderId="20" xfId="0" applyNumberFormat="1" applyFont="1" applyFill="1" applyBorder="1" applyAlignment="1">
      <alignment horizontal="center" vertical="center"/>
    </xf>
    <xf numFmtId="4" fontId="22" fillId="0" borderId="20" xfId="2" applyNumberFormat="1" applyFont="1" applyFill="1" applyBorder="1" applyAlignment="1">
      <alignment horizontal="center" vertical="center"/>
    </xf>
    <xf numFmtId="4" fontId="22" fillId="0" borderId="20" xfId="0" applyNumberFormat="1" applyFont="1" applyBorder="1" applyAlignment="1">
      <alignment horizontal="center" vertical="center"/>
    </xf>
    <xf numFmtId="10" fontId="22" fillId="0" borderId="20" xfId="0" applyNumberFormat="1" applyFont="1" applyBorder="1" applyAlignment="1">
      <alignment horizontal="center" vertical="center"/>
    </xf>
    <xf numFmtId="2" fontId="22" fillId="0" borderId="20" xfId="0" applyNumberFormat="1" applyFont="1" applyBorder="1" applyAlignment="1">
      <alignment horizontal="center" vertical="center"/>
    </xf>
    <xf numFmtId="10" fontId="22" fillId="0" borderId="38" xfId="0" applyNumberFormat="1" applyFont="1" applyBorder="1" applyAlignment="1">
      <alignment vertical="center"/>
    </xf>
    <xf numFmtId="0" fontId="9" fillId="0" borderId="21" xfId="0" applyFont="1" applyFill="1" applyBorder="1" applyAlignment="1">
      <alignment horizontal="center" vertical="center"/>
    </xf>
    <xf numFmtId="0" fontId="7" fillId="0" borderId="124" xfId="0" applyFont="1" applyBorder="1" applyAlignment="1">
      <alignment horizontal="center" vertical="center"/>
    </xf>
    <xf numFmtId="43" fontId="8" fillId="0" borderId="120" xfId="1" applyFont="1" applyFill="1" applyBorder="1" applyAlignment="1">
      <alignment vertical="center"/>
    </xf>
    <xf numFmtId="0" fontId="8" fillId="0" borderId="120" xfId="0" applyFont="1" applyFill="1" applyBorder="1" applyAlignment="1">
      <alignment horizontal="center" vertical="center"/>
    </xf>
    <xf numFmtId="43" fontId="8" fillId="0" borderId="120" xfId="1" applyFont="1" applyFill="1" applyBorder="1" applyAlignment="1">
      <alignment horizontal="center" vertical="center"/>
    </xf>
    <xf numFmtId="10" fontId="8" fillId="0" borderId="120" xfId="0" applyNumberFormat="1" applyFont="1" applyFill="1" applyBorder="1" applyAlignment="1">
      <alignment horizontal="center" vertical="center"/>
    </xf>
    <xf numFmtId="0" fontId="9" fillId="0" borderId="133" xfId="0" applyFont="1" applyFill="1" applyBorder="1" applyAlignment="1">
      <alignment horizontal="justify" vertical="center" wrapText="1"/>
    </xf>
    <xf numFmtId="4" fontId="9" fillId="0" borderId="133" xfId="0" applyNumberFormat="1" applyFont="1" applyFill="1" applyBorder="1" applyAlignment="1">
      <alignment horizontal="center" vertical="center"/>
    </xf>
    <xf numFmtId="10" fontId="9" fillId="0" borderId="133" xfId="0" applyNumberFormat="1" applyFont="1" applyBorder="1" applyAlignment="1">
      <alignment horizontal="center" vertical="center"/>
    </xf>
    <xf numFmtId="0" fontId="22" fillId="4" borderId="120" xfId="0" applyFont="1" applyFill="1" applyBorder="1" applyAlignment="1">
      <alignment horizontal="right" vertical="center"/>
    </xf>
    <xf numFmtId="165" fontId="9" fillId="0" borderId="120" xfId="0" applyNumberFormat="1" applyFont="1" applyFill="1" applyBorder="1" applyAlignment="1">
      <alignment vertical="center"/>
    </xf>
    <xf numFmtId="4" fontId="9" fillId="0" borderId="120" xfId="2" applyNumberFormat="1" applyFont="1" applyFill="1" applyBorder="1" applyAlignment="1">
      <alignment horizontal="center" vertical="center"/>
    </xf>
    <xf numFmtId="4" fontId="22" fillId="0" borderId="120" xfId="0" applyNumberFormat="1" applyFont="1" applyBorder="1" applyAlignment="1">
      <alignment horizontal="center" vertical="center"/>
    </xf>
    <xf numFmtId="10" fontId="22" fillId="0" borderId="120" xfId="0" applyNumberFormat="1" applyFont="1" applyBorder="1" applyAlignment="1">
      <alignment horizontal="center" vertical="center"/>
    </xf>
    <xf numFmtId="2" fontId="22" fillId="0" borderId="120" xfId="0" applyNumberFormat="1" applyFont="1" applyBorder="1" applyAlignment="1">
      <alignment horizontal="center" vertical="center"/>
    </xf>
    <xf numFmtId="0" fontId="9" fillId="0" borderId="130" xfId="0" applyFont="1" applyBorder="1" applyAlignment="1">
      <alignment vertical="center"/>
    </xf>
    <xf numFmtId="0" fontId="15" fillId="0" borderId="6" xfId="0" applyNumberFormat="1" applyFont="1" applyBorder="1" applyAlignment="1">
      <alignment horizontal="center" vertical="center"/>
    </xf>
    <xf numFmtId="0" fontId="15" fillId="0" borderId="6" xfId="0" applyFont="1" applyBorder="1" applyAlignment="1">
      <alignment horizontal="left" vertical="center" wrapText="1"/>
    </xf>
    <xf numFmtId="0" fontId="27" fillId="0" borderId="6" xfId="0" applyFont="1" applyBorder="1" applyAlignment="1">
      <alignment horizontal="center" vertical="center"/>
    </xf>
    <xf numFmtId="4" fontId="10" fillId="0" borderId="6" xfId="0" applyNumberFormat="1" applyFont="1" applyFill="1" applyBorder="1" applyAlignment="1">
      <alignment horizontal="right" vertical="center"/>
    </xf>
    <xf numFmtId="4" fontId="10" fillId="0" borderId="6" xfId="0" applyNumberFormat="1" applyFont="1" applyFill="1" applyBorder="1" applyAlignment="1">
      <alignment horizontal="right" vertical="center" wrapText="1"/>
    </xf>
    <xf numFmtId="4" fontId="10" fillId="0" borderId="6" xfId="0" applyNumberFormat="1" applyFont="1" applyBorder="1" applyAlignment="1">
      <alignment horizontal="right" vertical="center"/>
    </xf>
    <xf numFmtId="4" fontId="10" fillId="0" borderId="13" xfId="0" applyNumberFormat="1" applyFont="1" applyBorder="1" applyAlignment="1">
      <alignment horizontal="right" vertical="center"/>
    </xf>
    <xf numFmtId="4" fontId="10" fillId="0" borderId="133" xfId="0" applyNumberFormat="1" applyFont="1" applyFill="1" applyBorder="1" applyAlignment="1">
      <alignment horizontal="right" vertical="center" wrapText="1"/>
    </xf>
    <xf numFmtId="167" fontId="10" fillId="3" borderId="133" xfId="0" applyNumberFormat="1" applyFont="1" applyFill="1" applyBorder="1" applyAlignment="1">
      <alignment horizontal="right" vertical="center"/>
    </xf>
    <xf numFmtId="4" fontId="10" fillId="0" borderId="133" xfId="0" applyNumberFormat="1" applyFont="1" applyBorder="1" applyAlignment="1">
      <alignment horizontal="right" vertical="center"/>
    </xf>
    <xf numFmtId="2" fontId="10" fillId="3" borderId="133" xfId="0" applyNumberFormat="1" applyFont="1" applyFill="1" applyBorder="1" applyAlignment="1">
      <alignment horizontal="right" vertical="center" wrapText="1"/>
    </xf>
    <xf numFmtId="0" fontId="10" fillId="0" borderId="133" xfId="0" quotePrefix="1" applyFont="1" applyFill="1" applyBorder="1" applyAlignment="1">
      <alignment horizontal="center" vertical="center" wrapText="1"/>
    </xf>
    <xf numFmtId="0" fontId="10" fillId="6" borderId="133" xfId="0" applyNumberFormat="1" applyFont="1" applyFill="1" applyBorder="1" applyAlignment="1">
      <alignment horizontal="left" vertical="center" wrapText="1"/>
    </xf>
    <xf numFmtId="4" fontId="10" fillId="0" borderId="120" xfId="0" applyNumberFormat="1" applyFont="1" applyBorder="1" applyAlignment="1">
      <alignment horizontal="right" vertical="center"/>
    </xf>
    <xf numFmtId="4" fontId="10" fillId="3" borderId="133" xfId="0" applyNumberFormat="1" applyFont="1" applyFill="1" applyBorder="1" applyAlignment="1">
      <alignment horizontal="right" vertical="center" wrapText="1"/>
    </xf>
    <xf numFmtId="0" fontId="10" fillId="0" borderId="133" xfId="0" applyNumberFormat="1" applyFont="1" applyBorder="1" applyAlignment="1">
      <alignment horizontal="center" vertical="center"/>
    </xf>
    <xf numFmtId="4" fontId="10" fillId="3" borderId="133" xfId="0" applyNumberFormat="1" applyFont="1" applyFill="1" applyBorder="1" applyAlignment="1">
      <alignment horizontal="right" vertical="center"/>
    </xf>
    <xf numFmtId="0" fontId="10" fillId="0" borderId="135" xfId="0" applyNumberFormat="1" applyFont="1" applyBorder="1" applyAlignment="1">
      <alignment horizontal="center" vertical="center"/>
    </xf>
    <xf numFmtId="0" fontId="10" fillId="0" borderId="120" xfId="0" applyFont="1" applyBorder="1" applyAlignment="1">
      <alignment horizontal="left" vertical="center" wrapText="1"/>
    </xf>
    <xf numFmtId="4" fontId="10" fillId="3" borderId="120" xfId="0" applyNumberFormat="1" applyFont="1" applyFill="1" applyBorder="1" applyAlignment="1">
      <alignment horizontal="right" vertical="center"/>
    </xf>
    <xf numFmtId="0" fontId="10" fillId="0" borderId="123" xfId="0" applyFont="1" applyFill="1" applyBorder="1" applyAlignment="1">
      <alignment horizontal="left" vertical="center" wrapText="1"/>
    </xf>
    <xf numFmtId="0" fontId="30" fillId="0" borderId="55" xfId="0" applyNumberFormat="1" applyFont="1" applyBorder="1" applyAlignment="1">
      <alignment horizontal="center" vertical="center"/>
    </xf>
    <xf numFmtId="2" fontId="15" fillId="3" borderId="133" xfId="0" applyNumberFormat="1" applyFont="1" applyFill="1" applyBorder="1" applyAlignment="1">
      <alignment horizontal="right" vertical="center"/>
    </xf>
    <xf numFmtId="0" fontId="10" fillId="0" borderId="133" xfId="0" applyFont="1" applyFill="1" applyBorder="1" applyAlignment="1">
      <alignment horizontal="center" vertical="center"/>
    </xf>
    <xf numFmtId="0" fontId="15" fillId="0" borderId="133" xfId="0" applyFont="1" applyFill="1" applyBorder="1" applyAlignment="1">
      <alignment horizontal="center" vertical="center"/>
    </xf>
    <xf numFmtId="0" fontId="30" fillId="0" borderId="133" xfId="0" applyNumberFormat="1" applyFont="1" applyBorder="1" applyAlignment="1">
      <alignment horizontal="center" vertical="center"/>
    </xf>
    <xf numFmtId="0" fontId="15" fillId="0" borderId="123" xfId="0" applyFont="1" applyFill="1" applyBorder="1" applyAlignment="1">
      <alignment horizontal="center" vertical="center"/>
    </xf>
    <xf numFmtId="2" fontId="10" fillId="3" borderId="123" xfId="0" applyNumberFormat="1" applyFont="1" applyFill="1" applyBorder="1" applyAlignment="1">
      <alignment horizontal="right" vertical="center"/>
    </xf>
    <xf numFmtId="0" fontId="17" fillId="33" borderId="19" xfId="0" applyFont="1" applyFill="1" applyBorder="1" applyAlignment="1">
      <alignment horizontal="center" vertical="center"/>
    </xf>
    <xf numFmtId="0" fontId="7" fillId="33" borderId="20" xfId="0" quotePrefix="1" applyFont="1" applyFill="1" applyBorder="1" applyAlignment="1">
      <alignment horizontal="center" vertical="center"/>
    </xf>
    <xf numFmtId="0" fontId="7" fillId="33" borderId="20" xfId="0" applyFont="1" applyFill="1" applyBorder="1" applyAlignment="1">
      <alignment horizontal="left" vertical="center" wrapText="1"/>
    </xf>
    <xf numFmtId="0" fontId="29" fillId="33" borderId="20" xfId="0" applyNumberFormat="1" applyFont="1" applyFill="1" applyBorder="1" applyAlignment="1">
      <alignment horizontal="center" vertical="center" wrapText="1"/>
    </xf>
    <xf numFmtId="2" fontId="7" fillId="33" borderId="20" xfId="0" applyNumberFormat="1" applyFont="1" applyFill="1" applyBorder="1" applyAlignment="1">
      <alignment horizontal="right" vertical="center" wrapText="1"/>
    </xf>
    <xf numFmtId="167" fontId="10" fillId="33" borderId="78" xfId="0" applyNumberFormat="1" applyFont="1" applyFill="1" applyBorder="1" applyAlignment="1">
      <alignment horizontal="right" vertical="center" wrapText="1"/>
    </xf>
    <xf numFmtId="4" fontId="7" fillId="33" borderId="20" xfId="0" applyNumberFormat="1" applyFont="1" applyFill="1" applyBorder="1" applyAlignment="1">
      <alignment horizontal="right" vertical="center" wrapText="1"/>
    </xf>
    <xf numFmtId="0" fontId="10" fillId="0" borderId="104" xfId="0" applyFont="1" applyFill="1" applyBorder="1" applyAlignment="1">
      <alignment horizontal="center" vertical="center"/>
    </xf>
    <xf numFmtId="167" fontId="10" fillId="0" borderId="134" xfId="0" applyNumberFormat="1" applyFont="1" applyFill="1" applyBorder="1" applyAlignment="1">
      <alignment horizontal="right" vertical="center" wrapText="1"/>
    </xf>
    <xf numFmtId="0" fontId="17" fillId="33" borderId="104" xfId="0" applyFont="1" applyFill="1" applyBorder="1" applyAlignment="1">
      <alignment horizontal="center" vertical="center"/>
    </xf>
    <xf numFmtId="0" fontId="7" fillId="33" borderId="133" xfId="0" quotePrefix="1" applyFont="1" applyFill="1" applyBorder="1" applyAlignment="1">
      <alignment horizontal="center" vertical="center"/>
    </xf>
    <xf numFmtId="0" fontId="7" fillId="33" borderId="133" xfId="0" applyFont="1" applyFill="1" applyBorder="1" applyAlignment="1">
      <alignment horizontal="left" vertical="center" wrapText="1"/>
    </xf>
    <xf numFmtId="0" fontId="29" fillId="33" borderId="133" xfId="0" applyNumberFormat="1" applyFont="1" applyFill="1" applyBorder="1" applyAlignment="1">
      <alignment horizontal="center" vertical="center" wrapText="1"/>
    </xf>
    <xf numFmtId="2" fontId="7" fillId="33" borderId="133" xfId="0" applyNumberFormat="1" applyFont="1" applyFill="1" applyBorder="1" applyAlignment="1">
      <alignment horizontal="right" vertical="center" wrapText="1"/>
    </xf>
    <xf numFmtId="167" fontId="10" fillId="33" borderId="134" xfId="0" applyNumberFormat="1" applyFont="1" applyFill="1" applyBorder="1" applyAlignment="1">
      <alignment horizontal="right" vertical="center" wrapText="1"/>
    </xf>
    <xf numFmtId="4" fontId="7" fillId="33" borderId="133" xfId="0" applyNumberFormat="1" applyFont="1" applyFill="1" applyBorder="1" applyAlignment="1">
      <alignment horizontal="right" vertical="center" wrapText="1"/>
    </xf>
    <xf numFmtId="0" fontId="10" fillId="0" borderId="120" xfId="0" quotePrefix="1" applyFont="1" applyBorder="1" applyAlignment="1">
      <alignment horizontal="center" vertical="center"/>
    </xf>
    <xf numFmtId="173" fontId="15" fillId="0" borderId="120" xfId="1" applyNumberFormat="1" applyFont="1" applyBorder="1" applyAlignment="1">
      <alignment horizontal="center" vertical="center"/>
    </xf>
    <xf numFmtId="167" fontId="10" fillId="0" borderId="121" xfId="0" applyNumberFormat="1" applyFont="1" applyFill="1" applyBorder="1" applyAlignment="1">
      <alignment horizontal="right" vertical="center" wrapText="1"/>
    </xf>
    <xf numFmtId="4" fontId="10" fillId="0" borderId="112" xfId="0" applyNumberFormat="1" applyFont="1" applyBorder="1" applyAlignment="1">
      <alignment horizontal="right" vertical="center"/>
    </xf>
    <xf numFmtId="2" fontId="10" fillId="0" borderId="55" xfId="0" applyNumberFormat="1" applyFont="1" applyFill="1" applyBorder="1" applyAlignment="1">
      <alignment horizontal="right" vertical="center"/>
    </xf>
    <xf numFmtId="167" fontId="10" fillId="0" borderId="123" xfId="0" applyNumberFormat="1" applyFont="1" applyFill="1" applyBorder="1" applyAlignment="1">
      <alignment horizontal="right" vertical="center" wrapText="1"/>
    </xf>
    <xf numFmtId="0" fontId="33" fillId="33" borderId="133" xfId="0" applyFont="1" applyFill="1" applyBorder="1" applyAlignment="1">
      <alignment horizontal="left" vertical="center" wrapText="1"/>
    </xf>
    <xf numFmtId="167" fontId="10" fillId="33" borderId="133" xfId="0" applyNumberFormat="1" applyFont="1" applyFill="1" applyBorder="1" applyAlignment="1">
      <alignment horizontal="right" vertical="center" wrapText="1"/>
    </xf>
    <xf numFmtId="4" fontId="10" fillId="33" borderId="133" xfId="0" applyNumberFormat="1" applyFont="1" applyFill="1" applyBorder="1" applyAlignment="1">
      <alignment horizontal="right" vertical="center"/>
    </xf>
    <xf numFmtId="0" fontId="30" fillId="0" borderId="133" xfId="0" applyFont="1" applyBorder="1" applyAlignment="1">
      <alignment horizontal="center" vertical="center"/>
    </xf>
    <xf numFmtId="167" fontId="10" fillId="0" borderId="133" xfId="0" applyNumberFormat="1" applyFont="1" applyFill="1" applyBorder="1" applyAlignment="1">
      <alignment horizontal="right" vertical="center" wrapText="1"/>
    </xf>
    <xf numFmtId="167" fontId="10" fillId="0" borderId="133" xfId="0" applyNumberFormat="1" applyFont="1" applyBorder="1" applyAlignment="1">
      <alignment horizontal="right" vertical="center"/>
    </xf>
    <xf numFmtId="0" fontId="8" fillId="0" borderId="133" xfId="0" quotePrefix="1" applyFont="1" applyFill="1" applyBorder="1" applyAlignment="1">
      <alignment horizontal="center" vertical="center" wrapText="1"/>
    </xf>
    <xf numFmtId="10" fontId="22" fillId="0" borderId="123" xfId="0" applyNumberFormat="1" applyFont="1" applyBorder="1" applyAlignment="1">
      <alignment horizontal="right" vertical="center"/>
    </xf>
    <xf numFmtId="0" fontId="10" fillId="6" borderId="133" xfId="0" applyFont="1" applyFill="1" applyBorder="1" applyAlignment="1">
      <alignment horizontal="center" vertical="center"/>
    </xf>
    <xf numFmtId="0" fontId="15" fillId="0" borderId="133" xfId="0" applyNumberFormat="1" applyFont="1" applyBorder="1" applyAlignment="1">
      <alignment horizontal="center" vertical="center"/>
    </xf>
    <xf numFmtId="166" fontId="17" fillId="2" borderId="19" xfId="0" quotePrefix="1" applyNumberFormat="1" applyFont="1" applyFill="1" applyBorder="1" applyAlignment="1">
      <alignment horizontal="center" vertical="center"/>
    </xf>
    <xf numFmtId="0" fontId="17" fillId="2" borderId="20" xfId="0" quotePrefix="1" applyFont="1" applyFill="1" applyBorder="1" applyAlignment="1">
      <alignment horizontal="center" vertical="center"/>
    </xf>
    <xf numFmtId="0" fontId="17" fillId="2" borderId="20" xfId="0" applyFont="1" applyFill="1" applyBorder="1" applyAlignment="1">
      <alignment horizontal="left" vertical="center" wrapText="1"/>
    </xf>
    <xf numFmtId="0" fontId="17" fillId="2" borderId="20" xfId="0" applyFont="1" applyFill="1" applyBorder="1" applyAlignment="1">
      <alignment horizontal="center" vertical="center" wrapText="1"/>
    </xf>
    <xf numFmtId="2" fontId="17" fillId="5" borderId="20" xfId="0" applyNumberFormat="1" applyFont="1" applyFill="1" applyBorder="1" applyAlignment="1">
      <alignment horizontal="right" vertical="center" wrapText="1"/>
    </xf>
    <xf numFmtId="0" fontId="17" fillId="2" borderId="20" xfId="0" applyFont="1" applyFill="1" applyBorder="1" applyAlignment="1">
      <alignment horizontal="right" vertical="center" wrapText="1"/>
    </xf>
    <xf numFmtId="4" fontId="17" fillId="2" borderId="20" xfId="0" applyNumberFormat="1" applyFont="1" applyFill="1" applyBorder="1" applyAlignment="1">
      <alignment horizontal="right" vertical="center" wrapText="1"/>
    </xf>
    <xf numFmtId="4" fontId="17" fillId="2" borderId="38" xfId="0" applyNumberFormat="1" applyFont="1" applyFill="1" applyBorder="1" applyAlignment="1">
      <alignment horizontal="center" vertical="center" wrapText="1"/>
    </xf>
    <xf numFmtId="0" fontId="10" fillId="0" borderId="112" xfId="0" quotePrefix="1" applyFont="1" applyBorder="1" applyAlignment="1">
      <alignment horizontal="center" vertical="center"/>
    </xf>
    <xf numFmtId="0" fontId="10" fillId="0" borderId="121" xfId="0" quotePrefix="1" applyFont="1" applyBorder="1" applyAlignment="1">
      <alignment horizontal="left" vertical="center"/>
    </xf>
    <xf numFmtId="0" fontId="10" fillId="0" borderId="120" xfId="0" applyFont="1" applyBorder="1" applyAlignment="1">
      <alignment horizontal="right" vertical="center"/>
    </xf>
    <xf numFmtId="10" fontId="22" fillId="0" borderId="120" xfId="0" applyNumberFormat="1" applyFont="1" applyBorder="1" applyAlignment="1">
      <alignment horizontal="right" vertical="center"/>
    </xf>
    <xf numFmtId="0" fontId="15" fillId="0" borderId="104" xfId="0" applyFont="1" applyBorder="1" applyAlignment="1">
      <alignment vertical="center"/>
    </xf>
    <xf numFmtId="0" fontId="21" fillId="0" borderId="133" xfId="0" applyFont="1" applyBorder="1" applyAlignment="1">
      <alignment horizontal="justify" vertical="center" wrapText="1"/>
    </xf>
    <xf numFmtId="0" fontId="21" fillId="0" borderId="133" xfId="0" applyFont="1" applyBorder="1" applyAlignment="1">
      <alignment horizontal="center" vertical="center" wrapText="1"/>
    </xf>
    <xf numFmtId="171" fontId="21" fillId="0" borderId="133" xfId="0" applyNumberFormat="1" applyFont="1" applyBorder="1" applyAlignment="1">
      <alignment horizontal="center" vertical="center" wrapText="1"/>
    </xf>
    <xf numFmtId="167" fontId="21" fillId="0" borderId="124" xfId="0" applyNumberFormat="1" applyFont="1" applyBorder="1" applyAlignment="1">
      <alignment horizontal="center" vertical="center" wrapText="1"/>
    </xf>
    <xf numFmtId="171" fontId="9" fillId="0" borderId="133" xfId="0" applyNumberFormat="1" applyFont="1" applyBorder="1" applyAlignment="1">
      <alignment horizontal="center" vertical="center"/>
    </xf>
    <xf numFmtId="167" fontId="23" fillId="0" borderId="124" xfId="0" applyNumberFormat="1" applyFont="1" applyBorder="1" applyAlignment="1">
      <alignment horizontal="center" vertical="center" wrapText="1"/>
    </xf>
    <xf numFmtId="0" fontId="15" fillId="0" borderId="133" xfId="0" applyFont="1" applyBorder="1" applyAlignment="1">
      <alignment horizontal="justify" vertical="center" wrapText="1"/>
    </xf>
    <xf numFmtId="171" fontId="15" fillId="0" borderId="133" xfId="0" applyNumberFormat="1" applyFont="1" applyBorder="1" applyAlignment="1">
      <alignment horizontal="center" vertical="center" wrapText="1"/>
    </xf>
    <xf numFmtId="4" fontId="17" fillId="6" borderId="133" xfId="0" applyNumberFormat="1" applyFont="1" applyFill="1" applyBorder="1" applyAlignment="1">
      <alignment horizontal="right" vertical="center"/>
    </xf>
    <xf numFmtId="178" fontId="9" fillId="0" borderId="133" xfId="0" applyNumberFormat="1" applyFont="1" applyBorder="1" applyAlignment="1">
      <alignment horizontal="center" vertical="center"/>
    </xf>
    <xf numFmtId="172" fontId="9" fillId="0" borderId="133" xfId="0" applyNumberFormat="1" applyFont="1" applyBorder="1" applyAlignment="1">
      <alignment horizontal="center" vertical="center"/>
    </xf>
    <xf numFmtId="0" fontId="9" fillId="0" borderId="104" xfId="0" applyFont="1" applyBorder="1" applyAlignment="1">
      <alignment horizontal="center" vertical="center" wrapText="1"/>
    </xf>
    <xf numFmtId="0" fontId="25" fillId="0" borderId="133" xfId="0" applyFont="1" applyBorder="1" applyAlignment="1">
      <alignment wrapText="1"/>
    </xf>
    <xf numFmtId="2" fontId="15" fillId="0" borderId="133" xfId="0" applyNumberFormat="1" applyFont="1" applyBorder="1" applyAlignment="1">
      <alignment horizontal="center" vertical="center"/>
    </xf>
    <xf numFmtId="167" fontId="24" fillId="0" borderId="124" xfId="0" applyNumberFormat="1" applyFont="1" applyBorder="1" applyAlignment="1">
      <alignment horizontal="center" vertical="center" wrapText="1"/>
    </xf>
    <xf numFmtId="0" fontId="0" fillId="0" borderId="21" xfId="0" applyBorder="1"/>
    <xf numFmtId="0" fontId="0" fillId="0" borderId="120" xfId="0" applyBorder="1" applyAlignment="1">
      <alignment horizontal="left" vertical="center" wrapText="1"/>
    </xf>
    <xf numFmtId="0" fontId="0" fillId="0" borderId="120" xfId="0" applyBorder="1" applyAlignment="1"/>
    <xf numFmtId="0" fontId="0" fillId="0" borderId="17" xfId="0" applyBorder="1" applyAlignment="1">
      <alignment horizontal="left" vertical="center" wrapText="1"/>
    </xf>
    <xf numFmtId="0" fontId="9" fillId="0" borderId="124" xfId="0" applyFont="1" applyBorder="1" applyAlignment="1">
      <alignment horizontal="center" vertical="center" wrapText="1"/>
    </xf>
    <xf numFmtId="0" fontId="23" fillId="0" borderId="124" xfId="0" applyFont="1" applyBorder="1" applyAlignment="1">
      <alignment horizontal="left" vertical="center" wrapText="1"/>
    </xf>
    <xf numFmtId="0" fontId="9" fillId="0" borderId="133" xfId="0" quotePrefix="1" applyFont="1" applyFill="1" applyBorder="1" applyAlignment="1">
      <alignment horizontal="center" vertical="center"/>
    </xf>
    <xf numFmtId="171" fontId="9" fillId="0" borderId="133" xfId="0" applyNumberFormat="1" applyFont="1" applyFill="1" applyBorder="1" applyAlignment="1">
      <alignment horizontal="center" vertical="center"/>
    </xf>
    <xf numFmtId="0" fontId="15" fillId="0" borderId="104" xfId="0" applyFont="1" applyFill="1" applyBorder="1" applyAlignment="1">
      <alignment vertical="center"/>
    </xf>
    <xf numFmtId="0" fontId="21" fillId="0" borderId="133" xfId="0" applyFont="1" applyFill="1" applyBorder="1" applyAlignment="1">
      <alignment horizontal="justify" vertical="center" wrapText="1"/>
    </xf>
    <xf numFmtId="0" fontId="21" fillId="0" borderId="133" xfId="0" applyFont="1" applyFill="1" applyBorder="1" applyAlignment="1">
      <alignment horizontal="center" vertical="center" wrapText="1"/>
    </xf>
    <xf numFmtId="171" fontId="21" fillId="0" borderId="133" xfId="0" applyNumberFormat="1" applyFont="1" applyFill="1" applyBorder="1" applyAlignment="1">
      <alignment horizontal="center" vertical="center" wrapText="1"/>
    </xf>
    <xf numFmtId="0" fontId="17" fillId="0" borderId="133" xfId="0" applyFont="1" applyFill="1" applyBorder="1" applyAlignment="1">
      <alignment horizontal="center" vertical="center" wrapText="1"/>
    </xf>
    <xf numFmtId="0" fontId="31" fillId="30" borderId="104" xfId="5" applyFont="1" applyFill="1" applyBorder="1" applyAlignment="1">
      <alignment horizontal="center" vertical="center" wrapText="1"/>
    </xf>
    <xf numFmtId="0" fontId="77" fillId="0" borderId="133" xfId="0" applyFont="1" applyBorder="1"/>
    <xf numFmtId="0" fontId="15" fillId="0" borderId="104" xfId="0" applyFont="1" applyFill="1" applyBorder="1" applyAlignment="1">
      <alignment horizontal="center" vertical="center"/>
    </xf>
    <xf numFmtId="0" fontId="15" fillId="0" borderId="133" xfId="0" applyFont="1" applyFill="1" applyBorder="1" applyAlignment="1">
      <alignment horizontal="justify" vertical="center" wrapText="1"/>
    </xf>
    <xf numFmtId="0" fontId="15" fillId="0" borderId="133" xfId="0" applyFont="1" applyFill="1" applyBorder="1" applyAlignment="1">
      <alignment horizontal="center" vertical="center" wrapText="1"/>
    </xf>
    <xf numFmtId="171" fontId="15" fillId="0" borderId="133" xfId="0" applyNumberFormat="1" applyFont="1" applyFill="1" applyBorder="1" applyAlignment="1">
      <alignment horizontal="center" vertical="center" wrapText="1"/>
    </xf>
    <xf numFmtId="4" fontId="17" fillId="0" borderId="133" xfId="0" applyNumberFormat="1" applyFont="1" applyFill="1" applyBorder="1" applyAlignment="1">
      <alignment horizontal="right" vertical="center"/>
    </xf>
    <xf numFmtId="0" fontId="9" fillId="0" borderId="104" xfId="0" quotePrefix="1" applyFont="1" applyFill="1" applyBorder="1" applyAlignment="1">
      <alignment horizontal="center" vertical="center"/>
    </xf>
    <xf numFmtId="0" fontId="9" fillId="0" borderId="133" xfId="0" applyFont="1" applyBorder="1"/>
    <xf numFmtId="0" fontId="21" fillId="0" borderId="133" xfId="0" applyFont="1" applyBorder="1" applyAlignment="1">
      <alignment horizontal="left" vertical="center"/>
    </xf>
    <xf numFmtId="0" fontId="77" fillId="0" borderId="133" xfId="0" applyFont="1" applyBorder="1" applyAlignment="1">
      <alignment horizontal="left" vertical="center" wrapText="1"/>
    </xf>
    <xf numFmtId="0" fontId="9" fillId="0" borderId="104" xfId="0" applyFont="1" applyFill="1" applyBorder="1" applyAlignment="1">
      <alignment horizontal="center" vertical="center" wrapText="1"/>
    </xf>
    <xf numFmtId="0" fontId="25" fillId="0" borderId="133" xfId="0" applyFont="1" applyFill="1" applyBorder="1" applyAlignment="1">
      <alignment wrapText="1"/>
    </xf>
    <xf numFmtId="2" fontId="15" fillId="0" borderId="133" xfId="0" applyNumberFormat="1" applyFont="1" applyFill="1" applyBorder="1" applyAlignment="1">
      <alignment horizontal="center" vertical="center"/>
    </xf>
    <xf numFmtId="0" fontId="26" fillId="0" borderId="10" xfId="0" applyFont="1" applyBorder="1" applyAlignment="1">
      <alignment horizontal="center" vertical="center"/>
    </xf>
    <xf numFmtId="0" fontId="26" fillId="0" borderId="0" xfId="0" applyFont="1" applyBorder="1" applyAlignment="1">
      <alignment horizontal="center" vertical="center"/>
    </xf>
    <xf numFmtId="0" fontId="26" fillId="0" borderId="11" xfId="0" applyFont="1" applyBorder="1" applyAlignment="1">
      <alignment horizontal="center" vertical="center"/>
    </xf>
    <xf numFmtId="0" fontId="10" fillId="0" borderId="0" xfId="0" applyFont="1" applyBorder="1" applyAlignment="1">
      <alignment vertical="center" wrapText="1"/>
    </xf>
    <xf numFmtId="0" fontId="24" fillId="0" borderId="0" xfId="0" applyFont="1" applyBorder="1" applyAlignment="1">
      <alignment horizontal="right" vertical="center"/>
    </xf>
    <xf numFmtId="0" fontId="10" fillId="0" borderId="123" xfId="0" applyFont="1" applyFill="1" applyBorder="1" applyAlignment="1">
      <alignment horizontal="center" vertical="center"/>
    </xf>
    <xf numFmtId="2" fontId="10" fillId="3" borderId="123" xfId="1" applyNumberFormat="1" applyFont="1" applyFill="1" applyBorder="1" applyAlignment="1" applyProtection="1">
      <alignment horizontal="right" vertical="center"/>
      <protection locked="0"/>
    </xf>
    <xf numFmtId="0" fontId="10" fillId="0" borderId="15" xfId="0" quotePrefix="1" applyFont="1" applyBorder="1" applyAlignment="1">
      <alignment horizontal="center" vertical="center"/>
    </xf>
    <xf numFmtId="0" fontId="10" fillId="0" borderId="6" xfId="0" applyFont="1" applyFill="1" applyBorder="1" applyAlignment="1">
      <alignment horizontal="center" vertical="center"/>
    </xf>
    <xf numFmtId="0" fontId="10" fillId="0" borderId="6" xfId="0" applyFont="1" applyBorder="1" applyAlignment="1">
      <alignment horizontal="left" vertical="center" wrapText="1"/>
    </xf>
    <xf numFmtId="2" fontId="10" fillId="3" borderId="6" xfId="1" applyNumberFormat="1" applyFont="1" applyFill="1" applyBorder="1" applyAlignment="1" applyProtection="1">
      <alignment horizontal="right" vertical="center"/>
      <protection locked="0"/>
    </xf>
    <xf numFmtId="4" fontId="10" fillId="0" borderId="2" xfId="0" applyNumberFormat="1" applyFont="1" applyBorder="1" applyAlignment="1">
      <alignment horizontal="right" vertical="center"/>
    </xf>
    <xf numFmtId="2" fontId="10" fillId="3" borderId="133" xfId="1" applyNumberFormat="1" applyFont="1" applyFill="1" applyBorder="1" applyAlignment="1" applyProtection="1">
      <alignment horizontal="right" vertical="center"/>
      <protection locked="0"/>
    </xf>
    <xf numFmtId="0" fontId="10" fillId="0" borderId="125" xfId="0" quotePrefix="1" applyFont="1" applyBorder="1" applyAlignment="1">
      <alignment horizontal="center" vertical="center"/>
    </xf>
    <xf numFmtId="0" fontId="10" fillId="0" borderId="123" xfId="0" quotePrefix="1" applyFont="1" applyFill="1" applyBorder="1" applyAlignment="1">
      <alignment horizontal="left" vertical="center" wrapText="1"/>
    </xf>
    <xf numFmtId="0" fontId="9" fillId="0" borderId="133" xfId="0" quotePrefix="1" applyFont="1" applyBorder="1" applyAlignment="1">
      <alignment horizontal="center" vertical="center"/>
    </xf>
    <xf numFmtId="0" fontId="10" fillId="0" borderId="0" xfId="0" applyFont="1" applyBorder="1" applyAlignment="1">
      <alignment horizontal="left" vertical="center" wrapText="1"/>
    </xf>
    <xf numFmtId="0" fontId="9" fillId="0" borderId="134" xfId="0" applyFont="1" applyBorder="1" applyAlignment="1">
      <alignment horizontal="center" vertical="center"/>
    </xf>
    <xf numFmtId="0" fontId="9" fillId="0" borderId="133" xfId="0" applyFont="1" applyBorder="1" applyAlignment="1">
      <alignment horizontal="center" vertical="center"/>
    </xf>
    <xf numFmtId="0" fontId="17" fillId="4" borderId="104" xfId="0" applyFont="1" applyFill="1" applyBorder="1" applyAlignment="1">
      <alignment vertical="center"/>
    </xf>
    <xf numFmtId="0" fontId="17" fillId="0" borderId="133" xfId="0" applyFont="1" applyBorder="1" applyAlignment="1">
      <alignment horizontal="justify" vertical="center" wrapText="1"/>
    </xf>
    <xf numFmtId="0" fontId="17" fillId="0" borderId="133" xfId="0" applyFont="1" applyBorder="1" applyAlignment="1">
      <alignment horizontal="center" vertical="center" wrapText="1"/>
    </xf>
    <xf numFmtId="171" fontId="17" fillId="0" borderId="133" xfId="0" applyNumberFormat="1" applyFont="1" applyBorder="1" applyAlignment="1">
      <alignment horizontal="center" vertical="center" wrapText="1"/>
    </xf>
    <xf numFmtId="167" fontId="17" fillId="0" borderId="133" xfId="0" applyNumberFormat="1" applyFont="1" applyBorder="1" applyAlignment="1">
      <alignment horizontal="center" vertical="center" wrapText="1"/>
    </xf>
    <xf numFmtId="0" fontId="9" fillId="0" borderId="133" xfId="0" applyFont="1" applyBorder="1" applyAlignment="1">
      <alignment horizontal="justify" vertical="center" wrapText="1"/>
    </xf>
    <xf numFmtId="0" fontId="31" fillId="0" borderId="104" xfId="5" applyFont="1" applyBorder="1" applyAlignment="1">
      <alignment horizontal="center" vertical="center" wrapText="1"/>
    </xf>
    <xf numFmtId="0" fontId="31" fillId="0" borderId="133" xfId="5" applyFont="1" applyBorder="1" applyAlignment="1">
      <alignment horizontal="left" vertical="center" wrapText="1"/>
    </xf>
    <xf numFmtId="167" fontId="10" fillId="0" borderId="133" xfId="0" applyNumberFormat="1" applyFont="1" applyBorder="1" applyAlignment="1">
      <alignment vertical="center" wrapText="1"/>
    </xf>
    <xf numFmtId="167" fontId="10" fillId="0" borderId="133" xfId="0" applyNumberFormat="1" applyFont="1" applyBorder="1" applyAlignment="1">
      <alignment vertical="center"/>
    </xf>
    <xf numFmtId="0" fontId="23" fillId="0" borderId="133" xfId="0" applyFont="1" applyBorder="1" applyAlignment="1">
      <alignment horizontal="left" vertical="center" wrapText="1"/>
    </xf>
    <xf numFmtId="0" fontId="9" fillId="0" borderId="133" xfId="0" applyFont="1" applyBorder="1" applyAlignment="1">
      <alignment horizontal="left" vertical="center"/>
    </xf>
    <xf numFmtId="0" fontId="24" fillId="0" borderId="120" xfId="0" applyFont="1" applyBorder="1" applyAlignment="1">
      <alignment horizontal="right" vertical="center"/>
    </xf>
    <xf numFmtId="172" fontId="10" fillId="0" borderId="133" xfId="0" applyNumberFormat="1" applyFont="1" applyBorder="1" applyAlignment="1">
      <alignment horizontal="center" vertical="center"/>
    </xf>
    <xf numFmtId="172" fontId="15" fillId="0" borderId="133" xfId="0" applyNumberFormat="1" applyFont="1" applyBorder="1" applyAlignment="1">
      <alignment horizontal="center" vertical="center" wrapText="1"/>
    </xf>
    <xf numFmtId="2" fontId="24" fillId="0" borderId="120" xfId="0" applyNumberFormat="1" applyFont="1" applyBorder="1" applyAlignment="1">
      <alignment horizontal="center" vertical="center"/>
    </xf>
    <xf numFmtId="0" fontId="15" fillId="0" borderId="104" xfId="0" applyFont="1" applyBorder="1" applyAlignment="1">
      <alignment horizontal="center" vertical="center"/>
    </xf>
    <xf numFmtId="0" fontId="10" fillId="0" borderId="133" xfId="0" applyFont="1" applyBorder="1" applyAlignment="1">
      <alignment vertical="center" wrapText="1"/>
    </xf>
    <xf numFmtId="0" fontId="31" fillId="0" borderId="28" xfId="5" applyFont="1" applyBorder="1" applyAlignment="1">
      <alignment horizontal="center" vertical="center" wrapText="1"/>
    </xf>
    <xf numFmtId="0" fontId="31" fillId="0" borderId="6" xfId="5" applyFont="1" applyBorder="1" applyAlignment="1">
      <alignment horizontal="left" vertical="center" wrapText="1"/>
    </xf>
    <xf numFmtId="167" fontId="10" fillId="0" borderId="6" xfId="0" applyNumberFormat="1" applyFont="1" applyBorder="1" applyAlignment="1">
      <alignment vertical="center" wrapText="1"/>
    </xf>
    <xf numFmtId="167" fontId="10" fillId="0" borderId="6" xfId="0" applyNumberFormat="1" applyFont="1" applyBorder="1" applyAlignment="1">
      <alignment vertical="center"/>
    </xf>
    <xf numFmtId="4" fontId="17" fillId="6" borderId="55" xfId="0" applyNumberFormat="1" applyFont="1" applyFill="1" applyBorder="1" applyAlignment="1">
      <alignment horizontal="right" vertical="center"/>
    </xf>
    <xf numFmtId="167" fontId="17" fillId="0" borderId="13" xfId="0" applyNumberFormat="1" applyFont="1" applyBorder="1" applyAlignment="1">
      <alignment horizontal="center" vertical="center"/>
    </xf>
    <xf numFmtId="0" fontId="10" fillId="0" borderId="120" xfId="0" applyFont="1" applyBorder="1" applyAlignment="1">
      <alignment vertical="center" wrapText="1"/>
    </xf>
    <xf numFmtId="167" fontId="10" fillId="0" borderId="120" xfId="0" applyNumberFormat="1" applyFont="1" applyBorder="1" applyAlignment="1">
      <alignment vertical="center" wrapText="1"/>
    </xf>
    <xf numFmtId="167" fontId="10" fillId="0" borderId="120" xfId="0" applyNumberFormat="1" applyFont="1" applyBorder="1" applyAlignment="1">
      <alignment vertical="center"/>
    </xf>
    <xf numFmtId="4" fontId="17" fillId="6" borderId="120" xfId="0" applyNumberFormat="1" applyFont="1" applyFill="1" applyBorder="1" applyAlignment="1">
      <alignment horizontal="right" vertical="center"/>
    </xf>
    <xf numFmtId="0" fontId="17" fillId="0" borderId="104" xfId="0" applyFont="1" applyFill="1" applyBorder="1" applyAlignment="1">
      <alignment vertical="center"/>
    </xf>
    <xf numFmtId="0" fontId="22" fillId="0" borderId="133" xfId="0" applyFont="1" applyFill="1" applyBorder="1" applyAlignment="1">
      <alignment horizontal="justify" vertical="center" wrapText="1"/>
    </xf>
    <xf numFmtId="0" fontId="22" fillId="0" borderId="133" xfId="0" applyFont="1" applyFill="1" applyBorder="1" applyAlignment="1">
      <alignment horizontal="center" vertical="center" wrapText="1"/>
    </xf>
    <xf numFmtId="171" fontId="22" fillId="0" borderId="133" xfId="0" applyNumberFormat="1" applyFont="1" applyFill="1" applyBorder="1" applyAlignment="1">
      <alignment horizontal="center" vertical="center" wrapText="1"/>
    </xf>
    <xf numFmtId="167" fontId="22" fillId="0" borderId="133" xfId="0" applyNumberFormat="1" applyFont="1" applyFill="1" applyBorder="1" applyAlignment="1">
      <alignment horizontal="center" vertical="center" wrapText="1"/>
    </xf>
    <xf numFmtId="0" fontId="9" fillId="0" borderId="104" xfId="0" applyFont="1" applyFill="1" applyBorder="1" applyAlignment="1">
      <alignment horizontal="center" vertical="center"/>
    </xf>
    <xf numFmtId="172" fontId="9" fillId="0" borderId="133" xfId="0" applyNumberFormat="1" applyFont="1" applyFill="1" applyBorder="1" applyAlignment="1">
      <alignment horizontal="center" vertical="center"/>
    </xf>
    <xf numFmtId="0" fontId="31" fillId="0" borderId="104" xfId="5" applyFont="1" applyFill="1" applyBorder="1" applyAlignment="1">
      <alignment horizontal="center" vertical="center" wrapText="1"/>
    </xf>
    <xf numFmtId="0" fontId="31" fillId="0" borderId="133" xfId="5" applyFont="1" applyFill="1" applyBorder="1" applyAlignment="1">
      <alignment horizontal="left" vertical="center" wrapText="1"/>
    </xf>
    <xf numFmtId="167" fontId="10" fillId="0" borderId="133" xfId="0" applyNumberFormat="1" applyFont="1" applyFill="1" applyBorder="1" applyAlignment="1">
      <alignment vertical="center" wrapText="1"/>
    </xf>
    <xf numFmtId="167" fontId="10" fillId="0" borderId="133" xfId="0" applyNumberFormat="1" applyFont="1" applyFill="1" applyBorder="1" applyAlignment="1">
      <alignment vertical="center"/>
    </xf>
    <xf numFmtId="0" fontId="24" fillId="0" borderId="133" xfId="0" applyFont="1" applyFill="1" applyBorder="1" applyAlignment="1">
      <alignment horizontal="center" vertical="center" wrapText="1"/>
    </xf>
    <xf numFmtId="171" fontId="24" fillId="0" borderId="133" xfId="0" applyNumberFormat="1" applyFont="1" applyFill="1" applyBorder="1" applyAlignment="1">
      <alignment horizontal="center" vertical="center" wrapText="1"/>
    </xf>
    <xf numFmtId="166" fontId="9" fillId="0" borderId="104" xfId="0" applyNumberFormat="1" applyFont="1" applyFill="1" applyBorder="1" applyAlignment="1">
      <alignment horizontal="center" vertical="center" wrapText="1"/>
    </xf>
    <xf numFmtId="171" fontId="23" fillId="0" borderId="133" xfId="0" applyNumberFormat="1" applyFont="1" applyFill="1" applyBorder="1" applyAlignment="1">
      <alignment horizontal="center" vertical="center" wrapText="1"/>
    </xf>
    <xf numFmtId="0" fontId="23" fillId="0" borderId="133" xfId="0" applyFont="1" applyFill="1" applyBorder="1" applyAlignment="1">
      <alignment horizontal="left" vertical="center" wrapText="1"/>
    </xf>
    <xf numFmtId="166" fontId="10" fillId="0" borderId="104" xfId="0" applyNumberFormat="1" applyFont="1" applyFill="1" applyBorder="1" applyAlignment="1">
      <alignment horizontal="center" vertical="center" wrapText="1"/>
    </xf>
    <xf numFmtId="0" fontId="10" fillId="5" borderId="33" xfId="0" applyFont="1" applyFill="1" applyBorder="1" applyAlignment="1">
      <alignment horizontal="center" vertical="center"/>
    </xf>
    <xf numFmtId="167" fontId="22" fillId="5" borderId="36" xfId="0" applyNumberFormat="1" applyFont="1" applyFill="1" applyBorder="1" applyAlignment="1">
      <alignment horizontal="center" vertical="center" wrapText="1"/>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0" fontId="9" fillId="6" borderId="133" xfId="0" quotePrefix="1" applyFont="1" applyFill="1" applyBorder="1" applyAlignment="1">
      <alignment horizontal="left" vertical="center" wrapText="1"/>
    </xf>
    <xf numFmtId="0" fontId="22" fillId="0" borderId="133" xfId="0" applyFont="1" applyBorder="1" applyAlignment="1">
      <alignment horizontal="justify" vertical="center" wrapText="1"/>
    </xf>
    <xf numFmtId="0" fontId="23" fillId="0" borderId="133" xfId="0" applyFont="1" applyBorder="1" applyAlignment="1">
      <alignment horizontal="center" vertical="center" wrapText="1"/>
    </xf>
    <xf numFmtId="0" fontId="9" fillId="0" borderId="118" xfId="0" applyFont="1" applyBorder="1" applyAlignment="1">
      <alignment horizontal="center" vertical="center" wrapText="1"/>
    </xf>
    <xf numFmtId="0" fontId="9" fillId="0" borderId="133" xfId="0" applyFont="1" applyFill="1" applyBorder="1" applyAlignment="1">
      <alignment horizontal="left" vertical="center" wrapText="1"/>
    </xf>
    <xf numFmtId="0" fontId="15" fillId="0" borderId="135" xfId="0" applyFont="1" applyBorder="1" applyAlignment="1">
      <alignment horizontal="center" vertical="center" wrapText="1"/>
    </xf>
    <xf numFmtId="0" fontId="17" fillId="0" borderId="104" xfId="0" applyFont="1" applyBorder="1" applyAlignment="1">
      <alignment vertical="center" wrapText="1"/>
    </xf>
    <xf numFmtId="0" fontId="10" fillId="2" borderId="16" xfId="0" applyFont="1" applyFill="1" applyBorder="1" applyAlignment="1">
      <alignment horizontal="center" vertical="center"/>
    </xf>
    <xf numFmtId="0" fontId="21" fillId="0" borderId="120" xfId="0" applyFont="1" applyBorder="1" applyAlignment="1">
      <alignment horizontal="justify" vertical="center" wrapText="1"/>
    </xf>
    <xf numFmtId="0" fontId="21" fillId="0" borderId="120" xfId="0" applyFont="1" applyBorder="1" applyAlignment="1">
      <alignment horizontal="center" vertical="center" wrapText="1"/>
    </xf>
    <xf numFmtId="171" fontId="21" fillId="0" borderId="120" xfId="0" applyNumberFormat="1" applyFont="1" applyBorder="1" applyAlignment="1">
      <alignment horizontal="center" vertical="center" wrapText="1"/>
    </xf>
    <xf numFmtId="0" fontId="17" fillId="6" borderId="120" xfId="0" applyFont="1" applyFill="1" applyBorder="1" applyAlignment="1">
      <alignment horizontal="center" vertical="center" wrapText="1"/>
    </xf>
    <xf numFmtId="0" fontId="15" fillId="0" borderId="120" xfId="0" applyFont="1" applyBorder="1" applyAlignment="1">
      <alignment horizontal="center" vertical="center" wrapText="1"/>
    </xf>
    <xf numFmtId="172" fontId="23" fillId="0" borderId="120" xfId="0" applyNumberFormat="1" applyFont="1" applyBorder="1" applyAlignment="1">
      <alignment horizontal="center" vertical="center" wrapText="1"/>
    </xf>
    <xf numFmtId="4" fontId="17" fillId="6" borderId="6" xfId="0" applyNumberFormat="1" applyFont="1" applyFill="1" applyBorder="1" applyAlignment="1">
      <alignment horizontal="right" vertical="center"/>
    </xf>
    <xf numFmtId="0" fontId="77" fillId="0" borderId="133" xfId="0" applyFont="1" applyBorder="1" applyAlignment="1">
      <alignment horizontal="left" vertical="center"/>
    </xf>
    <xf numFmtId="0" fontId="68" fillId="5" borderId="42" xfId="0" applyFont="1" applyFill="1" applyBorder="1" applyAlignment="1">
      <alignment horizontal="center" vertical="center"/>
    </xf>
    <xf numFmtId="167" fontId="21" fillId="0" borderId="128" xfId="0" applyNumberFormat="1" applyFont="1" applyFill="1" applyBorder="1" applyAlignment="1">
      <alignment horizontal="center" vertical="center" wrapText="1"/>
    </xf>
    <xf numFmtId="167" fontId="17" fillId="0" borderId="130" xfId="3" applyNumberFormat="1" applyFont="1" applyFill="1" applyBorder="1" applyAlignment="1">
      <alignment horizontal="center" vertical="center" wrapText="1"/>
    </xf>
    <xf numFmtId="0" fontId="10" fillId="0" borderId="10" xfId="3" applyFont="1" applyFill="1" applyBorder="1" applyAlignment="1">
      <alignment horizontal="center" vertical="center"/>
    </xf>
    <xf numFmtId="167" fontId="17" fillId="0" borderId="11" xfId="3" applyNumberFormat="1" applyFont="1" applyFill="1" applyBorder="1" applyAlignment="1">
      <alignment horizontal="center" vertical="center" wrapText="1"/>
    </xf>
    <xf numFmtId="0" fontId="85" fillId="0" borderId="133" xfId="0" applyFont="1" applyBorder="1"/>
    <xf numFmtId="172" fontId="23" fillId="0" borderId="14" xfId="0" applyNumberFormat="1" applyFont="1" applyFill="1" applyBorder="1" applyAlignment="1">
      <alignment horizontal="center" vertical="center" wrapText="1"/>
    </xf>
    <xf numFmtId="171" fontId="23" fillId="0" borderId="14" xfId="0" applyNumberFormat="1" applyFont="1" applyFill="1" applyBorder="1" applyAlignment="1">
      <alignment horizontal="center" vertical="center" wrapText="1"/>
    </xf>
    <xf numFmtId="181" fontId="23" fillId="0" borderId="14" xfId="0" applyNumberFormat="1" applyFont="1" applyFill="1" applyBorder="1" applyAlignment="1">
      <alignment horizontal="center" vertical="center" wrapText="1"/>
    </xf>
    <xf numFmtId="178" fontId="24" fillId="0" borderId="14" xfId="0" applyNumberFormat="1" applyFont="1" applyFill="1" applyBorder="1" applyAlignment="1">
      <alignment horizontal="center" vertical="center" wrapText="1"/>
    </xf>
    <xf numFmtId="0" fontId="68" fillId="2" borderId="42" xfId="0" applyFont="1" applyFill="1" applyBorder="1" applyAlignment="1">
      <alignment horizontal="center" vertical="center"/>
    </xf>
    <xf numFmtId="0" fontId="9" fillId="0" borderId="104" xfId="0" quotePrefix="1" applyFont="1" applyBorder="1" applyAlignment="1">
      <alignment horizontal="center" vertical="center"/>
    </xf>
    <xf numFmtId="167" fontId="9" fillId="0" borderId="133" xfId="0" applyNumberFormat="1" applyFont="1" applyBorder="1" applyAlignment="1">
      <alignment horizontal="center" vertical="center" wrapText="1"/>
    </xf>
    <xf numFmtId="164" fontId="9" fillId="0" borderId="133" xfId="0" quotePrefix="1" applyNumberFormat="1" applyFont="1" applyBorder="1" applyAlignment="1">
      <alignment horizontal="center" vertical="center" wrapText="1"/>
    </xf>
    <xf numFmtId="0" fontId="22" fillId="0" borderId="133" xfId="0" applyFont="1" applyBorder="1" applyAlignment="1">
      <alignment horizontal="right" vertical="center" wrapText="1"/>
    </xf>
    <xf numFmtId="167" fontId="9" fillId="0" borderId="133" xfId="0" applyNumberFormat="1" applyFont="1" applyBorder="1" applyAlignment="1">
      <alignment vertical="center"/>
    </xf>
    <xf numFmtId="0" fontId="60" fillId="0" borderId="10" xfId="0" applyFont="1" applyBorder="1" applyAlignment="1">
      <alignment horizontal="center"/>
    </xf>
    <xf numFmtId="0" fontId="60" fillId="0" borderId="11" xfId="0" applyFont="1" applyBorder="1" applyAlignment="1">
      <alignment horizontal="center"/>
    </xf>
    <xf numFmtId="0" fontId="9" fillId="6" borderId="104" xfId="55" applyNumberFormat="1" applyFont="1" applyFill="1" applyBorder="1" applyAlignment="1">
      <alignment horizontal="center" vertical="center" wrapText="1"/>
    </xf>
    <xf numFmtId="179" fontId="9" fillId="0" borderId="133" xfId="0" quotePrefix="1" applyNumberFormat="1" applyFont="1" applyBorder="1" applyAlignment="1">
      <alignment horizontal="center" vertical="center" wrapText="1"/>
    </xf>
    <xf numFmtId="167" fontId="9" fillId="0" borderId="133" xfId="0" applyNumberFormat="1" applyFont="1" applyBorder="1" applyAlignment="1">
      <alignment horizontal="right" vertical="center" wrapText="1"/>
    </xf>
    <xf numFmtId="0" fontId="9" fillId="0" borderId="133" xfId="0" applyFont="1" applyBorder="1" applyAlignment="1">
      <alignment vertical="center" wrapText="1"/>
    </xf>
    <xf numFmtId="0" fontId="22" fillId="0" borderId="120" xfId="0" applyFont="1" applyBorder="1" applyAlignment="1">
      <alignment horizontal="right" vertical="center"/>
    </xf>
    <xf numFmtId="167" fontId="22" fillId="0" borderId="120" xfId="0" applyNumberFormat="1" applyFont="1" applyBorder="1" applyAlignment="1">
      <alignment vertical="center"/>
    </xf>
    <xf numFmtId="0" fontId="10" fillId="0" borderId="6" xfId="0" quotePrefix="1" applyFont="1" applyBorder="1" applyAlignment="1">
      <alignment horizontal="center" vertical="center"/>
    </xf>
    <xf numFmtId="0" fontId="8" fillId="0" borderId="6" xfId="0" quotePrefix="1" applyFont="1" applyBorder="1" applyAlignment="1">
      <alignment horizontal="center" vertical="center"/>
    </xf>
    <xf numFmtId="0" fontId="10" fillId="0" borderId="123" xfId="0" quotePrefix="1" applyFont="1" applyBorder="1" applyAlignment="1">
      <alignment horizontal="left" vertical="center" wrapText="1"/>
    </xf>
    <xf numFmtId="0" fontId="10" fillId="0" borderId="133" xfId="0" quotePrefix="1" applyFont="1" applyBorder="1" applyAlignment="1">
      <alignment horizontal="left" vertical="center" wrapText="1"/>
    </xf>
    <xf numFmtId="0" fontId="10" fillId="0" borderId="133" xfId="0" quotePrefix="1" applyFont="1" applyFill="1" applyBorder="1" applyAlignment="1">
      <alignment horizontal="right" vertical="center" wrapText="1"/>
    </xf>
    <xf numFmtId="0" fontId="9" fillId="0" borderId="134" xfId="0" applyFont="1" applyFill="1" applyBorder="1" applyAlignment="1">
      <alignment horizontal="center" vertical="center"/>
    </xf>
    <xf numFmtId="0" fontId="9" fillId="0" borderId="133" xfId="0" applyFont="1" applyFill="1" applyBorder="1" applyAlignment="1">
      <alignment horizontal="center" vertical="center"/>
    </xf>
    <xf numFmtId="0" fontId="10" fillId="0" borderId="6" xfId="0" applyFont="1" applyFill="1" applyBorder="1" applyAlignment="1">
      <alignment horizontal="left" vertical="center" wrapText="1"/>
    </xf>
    <xf numFmtId="0" fontId="9" fillId="0" borderId="77" xfId="0" applyFont="1" applyBorder="1" applyAlignment="1">
      <alignment horizontal="center" vertical="center"/>
    </xf>
    <xf numFmtId="0" fontId="84" fillId="0" borderId="133" xfId="0" applyFont="1" applyFill="1" applyBorder="1" applyAlignment="1">
      <alignment horizontal="left" vertical="center" wrapText="1"/>
    </xf>
    <xf numFmtId="0" fontId="15" fillId="0" borderId="133" xfId="0" applyFont="1" applyBorder="1" applyAlignment="1">
      <alignment horizontal="left" vertical="center"/>
    </xf>
    <xf numFmtId="0" fontId="10" fillId="0" borderId="134" xfId="0" applyFont="1" applyFill="1" applyBorder="1" applyAlignment="1">
      <alignment horizontal="center" vertical="center"/>
    </xf>
    <xf numFmtId="0" fontId="10" fillId="0" borderId="133" xfId="0" quotePrefix="1" applyFont="1" applyBorder="1" applyAlignment="1">
      <alignment horizontal="left" vertical="center"/>
    </xf>
    <xf numFmtId="2" fontId="10" fillId="3" borderId="133" xfId="0" applyNumberFormat="1" applyFont="1" applyFill="1" applyBorder="1" applyAlignment="1">
      <alignment horizontal="right" vertical="center"/>
    </xf>
    <xf numFmtId="2" fontId="15" fillId="3" borderId="6" xfId="0" applyNumberFormat="1" applyFont="1" applyFill="1" applyBorder="1" applyAlignment="1">
      <alignment horizontal="right" vertical="center"/>
    </xf>
    <xf numFmtId="4" fontId="10" fillId="3" borderId="133" xfId="0" applyNumberFormat="1" applyFont="1" applyFill="1" applyBorder="1" applyAlignment="1">
      <alignment vertical="center"/>
    </xf>
    <xf numFmtId="10" fontId="22" fillId="0" borderId="133" xfId="0" applyNumberFormat="1" applyFont="1" applyBorder="1" applyAlignment="1">
      <alignment horizontal="right" vertical="center"/>
    </xf>
    <xf numFmtId="4" fontId="10" fillId="32" borderId="55" xfId="0" applyNumberFormat="1" applyFont="1" applyFill="1" applyBorder="1" applyAlignment="1">
      <alignment horizontal="right" vertical="center"/>
    </xf>
    <xf numFmtId="2" fontId="15" fillId="0" borderId="133" xfId="0" applyNumberFormat="1" applyFont="1" applyFill="1" applyBorder="1" applyAlignment="1">
      <alignment horizontal="right" vertical="center"/>
    </xf>
    <xf numFmtId="0" fontId="17" fillId="32" borderId="10" xfId="0" applyFont="1" applyFill="1" applyBorder="1" applyAlignment="1">
      <alignment horizontal="center" vertical="center"/>
    </xf>
    <xf numFmtId="0" fontId="10" fillId="32" borderId="55" xfId="0" quotePrefix="1" applyFont="1" applyFill="1" applyBorder="1" applyAlignment="1">
      <alignment horizontal="center" vertical="center"/>
    </xf>
    <xf numFmtId="0" fontId="17" fillId="32" borderId="55" xfId="0" quotePrefix="1" applyFont="1" applyFill="1" applyBorder="1" applyAlignment="1">
      <alignment horizontal="left" vertical="center"/>
    </xf>
    <xf numFmtId="2" fontId="10" fillId="32" borderId="55" xfId="0" applyNumberFormat="1" applyFont="1" applyFill="1" applyBorder="1" applyAlignment="1">
      <alignment horizontal="right" vertical="center"/>
    </xf>
    <xf numFmtId="4" fontId="10" fillId="32" borderId="55" xfId="0" applyNumberFormat="1" applyFont="1" applyFill="1" applyBorder="1" applyAlignment="1">
      <alignment horizontal="right" vertical="center" wrapText="1"/>
    </xf>
    <xf numFmtId="4" fontId="10" fillId="32" borderId="59" xfId="0" applyNumberFormat="1" applyFont="1" applyFill="1" applyBorder="1" applyAlignment="1">
      <alignment horizontal="right" vertical="center"/>
    </xf>
    <xf numFmtId="0" fontId="10" fillId="0" borderId="77" xfId="0" applyFont="1" applyBorder="1" applyAlignment="1">
      <alignment horizontal="center" vertical="center"/>
    </xf>
    <xf numFmtId="0" fontId="10" fillId="0" borderId="55" xfId="0" quotePrefix="1" applyFont="1" applyBorder="1" applyAlignment="1">
      <alignment horizontal="center" vertical="center"/>
    </xf>
    <xf numFmtId="2" fontId="10" fillId="0" borderId="55" xfId="0" applyNumberFormat="1" applyFont="1" applyFill="1" applyBorder="1" applyAlignment="1">
      <alignment vertical="center"/>
    </xf>
    <xf numFmtId="0" fontId="10" fillId="0" borderId="55" xfId="0" applyFont="1" applyBorder="1" applyAlignment="1">
      <alignment horizontal="center" vertical="center"/>
    </xf>
    <xf numFmtId="0" fontId="17" fillId="2" borderId="133" xfId="0" quotePrefix="1" applyFont="1" applyFill="1" applyBorder="1" applyAlignment="1">
      <alignment horizontal="center" vertical="center"/>
    </xf>
    <xf numFmtId="0" fontId="17" fillId="2" borderId="133" xfId="0" applyFont="1" applyFill="1" applyBorder="1" applyAlignment="1">
      <alignment horizontal="left" vertical="center" wrapText="1"/>
    </xf>
    <xf numFmtId="0" fontId="10" fillId="0" borderId="55" xfId="0" applyFont="1" applyBorder="1" applyAlignment="1">
      <alignment horizontal="left" vertical="center" wrapText="1"/>
    </xf>
    <xf numFmtId="0" fontId="17" fillId="2" borderId="133" xfId="0" applyFont="1" applyFill="1" applyBorder="1" applyAlignment="1">
      <alignment horizontal="center" vertical="center" wrapText="1"/>
    </xf>
    <xf numFmtId="2" fontId="17" fillId="5" borderId="133" xfId="0" applyNumberFormat="1" applyFont="1" applyFill="1" applyBorder="1" applyAlignment="1">
      <alignment horizontal="center" vertical="center" wrapText="1"/>
    </xf>
    <xf numFmtId="4" fontId="17" fillId="2" borderId="133" xfId="0" applyNumberFormat="1" applyFont="1" applyFill="1" applyBorder="1" applyAlignment="1">
      <alignment horizontal="center" vertical="center" wrapText="1"/>
    </xf>
    <xf numFmtId="4" fontId="10" fillId="0" borderId="55" xfId="0" applyNumberFormat="1" applyFont="1" applyFill="1" applyBorder="1" applyAlignment="1">
      <alignment horizontal="right" vertical="center"/>
    </xf>
    <xf numFmtId="2" fontId="10" fillId="0" borderId="123" xfId="0" applyNumberFormat="1" applyFont="1" applyFill="1" applyBorder="1" applyAlignment="1">
      <alignment vertical="center"/>
    </xf>
    <xf numFmtId="4" fontId="10" fillId="5" borderId="133" xfId="0" applyNumberFormat="1" applyFont="1" applyFill="1" applyBorder="1" applyAlignment="1">
      <alignment horizontal="right" vertical="center"/>
    </xf>
    <xf numFmtId="0" fontId="9" fillId="0" borderId="119" xfId="0" applyFont="1" applyBorder="1" applyAlignment="1">
      <alignment horizontal="center" vertical="center"/>
    </xf>
    <xf numFmtId="167" fontId="10" fillId="0" borderId="0" xfId="0" applyNumberFormat="1" applyFont="1" applyFill="1" applyBorder="1" applyAlignment="1">
      <alignment horizontal="left" vertical="center"/>
    </xf>
    <xf numFmtId="4" fontId="10" fillId="32" borderId="133" xfId="0" applyNumberFormat="1" applyFont="1" applyFill="1" applyBorder="1" applyAlignment="1">
      <alignment horizontal="right" vertical="center"/>
    </xf>
    <xf numFmtId="0" fontId="10" fillId="32" borderId="133" xfId="0" quotePrefix="1" applyFont="1" applyFill="1" applyBorder="1" applyAlignment="1">
      <alignment horizontal="center" vertical="center"/>
    </xf>
    <xf numFmtId="0" fontId="17" fillId="32" borderId="133" xfId="0" quotePrefix="1" applyFont="1" applyFill="1" applyBorder="1" applyAlignment="1">
      <alignment horizontal="left" vertical="center"/>
    </xf>
    <xf numFmtId="2" fontId="10" fillId="32" borderId="133" xfId="0" applyNumberFormat="1" applyFont="1" applyFill="1" applyBorder="1" applyAlignment="1">
      <alignment horizontal="right" vertical="center"/>
    </xf>
    <xf numFmtId="4" fontId="10" fillId="32" borderId="133" xfId="0" applyNumberFormat="1" applyFont="1" applyFill="1" applyBorder="1" applyAlignment="1">
      <alignment horizontal="right" vertical="center" wrapText="1"/>
    </xf>
    <xf numFmtId="0" fontId="8" fillId="0" borderId="0" xfId="0" applyFont="1" applyBorder="1" applyAlignment="1">
      <alignment horizontal="left" vertical="center" wrapText="1"/>
    </xf>
    <xf numFmtId="0" fontId="8" fillId="0" borderId="43" xfId="0" applyFont="1" applyBorder="1" applyAlignment="1">
      <alignment horizontal="left" vertical="center" wrapText="1"/>
    </xf>
    <xf numFmtId="2" fontId="72" fillId="0" borderId="0" xfId="0" applyNumberFormat="1" applyFont="1" applyFill="1" applyBorder="1" applyAlignment="1">
      <alignment horizontal="center" vertical="center" wrapText="1"/>
    </xf>
    <xf numFmtId="4" fontId="71" fillId="0" borderId="0" xfId="0" applyNumberFormat="1" applyFont="1" applyBorder="1" applyAlignment="1">
      <alignment horizontal="center" vertical="center"/>
    </xf>
    <xf numFmtId="0" fontId="10" fillId="0" borderId="6" xfId="0" quotePrefix="1" applyFont="1" applyFill="1" applyBorder="1" applyAlignment="1">
      <alignment horizontal="left" vertical="center" wrapText="1"/>
    </xf>
    <xf numFmtId="0" fontId="10" fillId="0" borderId="133" xfId="0" applyNumberFormat="1" applyFont="1" applyFill="1" applyBorder="1" applyAlignment="1">
      <alignment horizontal="left" vertical="center" wrapText="1"/>
    </xf>
    <xf numFmtId="0" fontId="10" fillId="0" borderId="75" xfId="0" quotePrefix="1" applyFont="1" applyBorder="1" applyAlignment="1">
      <alignment horizontal="center" vertical="center"/>
    </xf>
    <xf numFmtId="0" fontId="10" fillId="0" borderId="6" xfId="0" quotePrefix="1" applyFont="1" applyFill="1" applyBorder="1" applyAlignment="1">
      <alignment horizontal="center" vertical="center" wrapText="1"/>
    </xf>
    <xf numFmtId="4" fontId="10" fillId="3" borderId="6" xfId="0" applyNumberFormat="1" applyFont="1" applyFill="1" applyBorder="1" applyAlignment="1">
      <alignment horizontal="right" vertical="center" wrapText="1"/>
    </xf>
    <xf numFmtId="0" fontId="10" fillId="0" borderId="133" xfId="0" quotePrefix="1" applyFont="1" applyFill="1" applyBorder="1" applyAlignment="1">
      <alignment horizontal="left" vertical="center" wrapText="1"/>
    </xf>
    <xf numFmtId="4" fontId="10" fillId="0" borderId="0" xfId="0" applyNumberFormat="1" applyFont="1" applyBorder="1" applyAlignment="1">
      <alignment horizontal="center" vertical="center"/>
    </xf>
    <xf numFmtId="0" fontId="18" fillId="0" borderId="0" xfId="0" applyFont="1" applyAlignment="1">
      <alignment horizontal="center" vertical="center"/>
    </xf>
    <xf numFmtId="182" fontId="15" fillId="0" borderId="0" xfId="0" applyNumberFormat="1" applyFont="1" applyAlignment="1">
      <alignment horizontal="left" vertical="center"/>
    </xf>
    <xf numFmtId="182" fontId="0" fillId="0" borderId="0" xfId="0" applyNumberFormat="1" applyAlignment="1">
      <alignment horizontal="left" vertical="center"/>
    </xf>
    <xf numFmtId="0" fontId="10" fillId="0" borderId="118" xfId="0" applyFont="1" applyFill="1" applyBorder="1" applyAlignment="1">
      <alignment horizontal="center" vertical="center"/>
    </xf>
    <xf numFmtId="0" fontId="10" fillId="0" borderId="110" xfId="0" quotePrefix="1" applyFont="1" applyBorder="1" applyAlignment="1">
      <alignment horizontal="center" vertical="center"/>
    </xf>
    <xf numFmtId="0" fontId="10" fillId="32" borderId="104" xfId="0" applyFont="1" applyFill="1" applyBorder="1" applyAlignment="1">
      <alignment horizontal="center" vertical="center"/>
    </xf>
    <xf numFmtId="0" fontId="84" fillId="0" borderId="133" xfId="0" applyFont="1" applyBorder="1" applyAlignment="1">
      <alignment horizontal="left" vertical="center"/>
    </xf>
    <xf numFmtId="0" fontId="10" fillId="0" borderId="104" xfId="0" quotePrefix="1" applyFont="1" applyBorder="1" applyAlignment="1">
      <alignment horizontal="center" vertical="center"/>
    </xf>
    <xf numFmtId="166" fontId="10" fillId="0" borderId="104" xfId="0" quotePrefix="1" applyNumberFormat="1" applyFont="1" applyFill="1" applyBorder="1" applyAlignment="1">
      <alignment horizontal="center" vertical="center"/>
    </xf>
    <xf numFmtId="0" fontId="10" fillId="0" borderId="120" xfId="0" applyFont="1" applyFill="1" applyBorder="1" applyAlignment="1">
      <alignment horizontal="right" vertical="center" wrapText="1"/>
    </xf>
    <xf numFmtId="4" fontId="10" fillId="0" borderId="120" xfId="0" applyNumberFormat="1" applyFont="1" applyFill="1" applyBorder="1" applyAlignment="1">
      <alignment horizontal="right" vertical="center" wrapText="1"/>
    </xf>
    <xf numFmtId="0" fontId="9" fillId="6" borderId="135" xfId="0" applyFont="1" applyFill="1" applyBorder="1" applyAlignment="1">
      <alignment horizontal="center" vertical="center"/>
    </xf>
    <xf numFmtId="0" fontId="17" fillId="32" borderId="118" xfId="0" applyFont="1" applyFill="1" applyBorder="1" applyAlignment="1">
      <alignment horizontal="center" vertical="center"/>
    </xf>
    <xf numFmtId="0" fontId="10" fillId="0" borderId="133" xfId="0" applyFont="1" applyFill="1" applyBorder="1" applyAlignment="1">
      <alignment horizontal="justify" vertical="center" wrapText="1"/>
    </xf>
    <xf numFmtId="0" fontId="17" fillId="32" borderId="104" xfId="0" applyFont="1" applyFill="1" applyBorder="1" applyAlignment="1">
      <alignment horizontal="center" vertical="center"/>
    </xf>
    <xf numFmtId="0" fontId="10" fillId="0" borderId="119" xfId="0" quotePrefix="1" applyFont="1" applyBorder="1" applyAlignment="1">
      <alignment horizontal="left" vertical="center" wrapText="1"/>
    </xf>
    <xf numFmtId="0" fontId="10" fillId="0" borderId="121" xfId="0" quotePrefix="1" applyFont="1" applyBorder="1" applyAlignment="1">
      <alignment horizontal="center" vertical="center"/>
    </xf>
    <xf numFmtId="0" fontId="10" fillId="6" borderId="133" xfId="0" applyFont="1" applyFill="1" applyBorder="1" applyAlignment="1">
      <alignment horizontal="left" vertical="center" wrapText="1"/>
    </xf>
    <xf numFmtId="0" fontId="10" fillId="0" borderId="133" xfId="0" applyFont="1" applyBorder="1" applyAlignment="1">
      <alignment horizontal="right" vertical="center"/>
    </xf>
    <xf numFmtId="10" fontId="17" fillId="0" borderId="133" xfId="0" applyNumberFormat="1" applyFont="1" applyBorder="1" applyAlignment="1">
      <alignment horizontal="right" vertical="center"/>
    </xf>
    <xf numFmtId="4" fontId="17" fillId="0" borderId="14" xfId="0" applyNumberFormat="1" applyFont="1" applyBorder="1" applyAlignment="1">
      <alignment horizontal="right" vertical="center"/>
    </xf>
    <xf numFmtId="0" fontId="10" fillId="32" borderId="120" xfId="0" quotePrefix="1" applyFont="1" applyFill="1" applyBorder="1" applyAlignment="1">
      <alignment horizontal="center" vertical="center"/>
    </xf>
    <xf numFmtId="0" fontId="17" fillId="32" borderId="120" xfId="0" quotePrefix="1" applyFont="1" applyFill="1" applyBorder="1" applyAlignment="1">
      <alignment horizontal="left" vertical="center"/>
    </xf>
    <xf numFmtId="2" fontId="10" fillId="32" borderId="120" xfId="0" applyNumberFormat="1" applyFont="1" applyFill="1" applyBorder="1" applyAlignment="1">
      <alignment horizontal="right" vertical="center"/>
    </xf>
    <xf numFmtId="4" fontId="10" fillId="32" borderId="120" xfId="0" applyNumberFormat="1" applyFont="1" applyFill="1" applyBorder="1" applyAlignment="1">
      <alignment horizontal="right" vertical="center" wrapText="1"/>
    </xf>
    <xf numFmtId="4" fontId="10" fillId="32" borderId="120" xfId="0" applyNumberFormat="1" applyFont="1" applyFill="1" applyBorder="1" applyAlignment="1">
      <alignment horizontal="right" vertical="center"/>
    </xf>
    <xf numFmtId="0" fontId="15" fillId="0" borderId="133" xfId="0" applyFont="1" applyBorder="1" applyAlignment="1">
      <alignment horizontal="center" vertical="center"/>
    </xf>
    <xf numFmtId="0" fontId="30" fillId="0" borderId="135" xfId="0" applyNumberFormat="1" applyFont="1" applyBorder="1" applyAlignment="1">
      <alignment horizontal="center" vertical="center"/>
    </xf>
    <xf numFmtId="166" fontId="17" fillId="2" borderId="104" xfId="0" quotePrefix="1" applyNumberFormat="1" applyFont="1" applyFill="1" applyBorder="1" applyAlignment="1">
      <alignment horizontal="center" vertical="center"/>
    </xf>
    <xf numFmtId="4" fontId="17" fillId="2" borderId="14" xfId="0" applyNumberFormat="1" applyFont="1" applyFill="1" applyBorder="1" applyAlignment="1">
      <alignment horizontal="center" vertical="center" wrapText="1"/>
    </xf>
    <xf numFmtId="4" fontId="10" fillId="0" borderId="133" xfId="0" applyNumberFormat="1" applyFont="1" applyFill="1" applyBorder="1" applyAlignment="1">
      <alignment horizontal="center" vertical="center" wrapText="1"/>
    </xf>
    <xf numFmtId="4" fontId="10" fillId="0" borderId="133" xfId="0" applyNumberFormat="1" applyFont="1" applyBorder="1" applyAlignment="1">
      <alignment horizontal="center" vertical="center"/>
    </xf>
    <xf numFmtId="2" fontId="10" fillId="3" borderId="133" xfId="1" applyNumberFormat="1" applyFont="1" applyFill="1" applyBorder="1" applyAlignment="1">
      <alignment horizontal="right" vertical="center" wrapText="1"/>
    </xf>
    <xf numFmtId="4" fontId="10" fillId="0" borderId="135" xfId="0" applyNumberFormat="1" applyFont="1" applyBorder="1" applyAlignment="1">
      <alignment horizontal="right" vertical="center"/>
    </xf>
    <xf numFmtId="2" fontId="10" fillId="3" borderId="133" xfId="1" applyNumberFormat="1" applyFont="1" applyFill="1" applyBorder="1" applyAlignment="1">
      <alignment horizontal="right" vertical="center"/>
    </xf>
    <xf numFmtId="0" fontId="10" fillId="0" borderId="133" xfId="0" applyFont="1" applyFill="1" applyBorder="1" applyAlignment="1">
      <alignment vertical="center" wrapText="1"/>
    </xf>
    <xf numFmtId="0" fontId="30" fillId="0" borderId="120" xfId="0" applyFont="1" applyBorder="1" applyAlignment="1">
      <alignment wrapText="1"/>
    </xf>
    <xf numFmtId="2" fontId="10" fillId="0" borderId="120" xfId="0" applyNumberFormat="1" applyFont="1" applyFill="1" applyBorder="1" applyAlignment="1">
      <alignment vertical="center"/>
    </xf>
    <xf numFmtId="0" fontId="10" fillId="0" borderId="120" xfId="0" applyFont="1" applyBorder="1" applyAlignment="1">
      <alignment horizontal="center" vertical="center"/>
    </xf>
    <xf numFmtId="2" fontId="10" fillId="6" borderId="120" xfId="1" applyNumberFormat="1" applyFont="1" applyFill="1" applyBorder="1" applyAlignment="1">
      <alignment horizontal="center" vertical="center"/>
    </xf>
    <xf numFmtId="4" fontId="10" fillId="0" borderId="135" xfId="0" applyNumberFormat="1" applyFont="1" applyBorder="1" applyAlignment="1">
      <alignment horizontal="center" vertical="center"/>
    </xf>
    <xf numFmtId="0" fontId="9" fillId="0" borderId="133" xfId="0" quotePrefix="1" applyFont="1" applyFill="1" applyBorder="1" applyAlignment="1">
      <alignment horizontal="center" vertical="center" wrapText="1"/>
    </xf>
    <xf numFmtId="0" fontId="17" fillId="36" borderId="118" xfId="0" quotePrefix="1" applyFont="1" applyFill="1" applyBorder="1" applyAlignment="1">
      <alignment horizontal="center" vertical="center"/>
    </xf>
    <xf numFmtId="0" fontId="7" fillId="36" borderId="133" xfId="0" quotePrefix="1" applyFont="1" applyFill="1" applyBorder="1" applyAlignment="1">
      <alignment horizontal="center" vertical="center"/>
    </xf>
    <xf numFmtId="0" fontId="21" fillId="36" borderId="133" xfId="0" applyFont="1" applyFill="1" applyBorder="1" applyAlignment="1">
      <alignment horizontal="justify" vertical="center"/>
    </xf>
    <xf numFmtId="0" fontId="10" fillId="36" borderId="133" xfId="0" quotePrefix="1" applyFont="1" applyFill="1" applyBorder="1" applyAlignment="1">
      <alignment horizontal="center" vertical="center"/>
    </xf>
    <xf numFmtId="2" fontId="7" fillId="36" borderId="133" xfId="0" applyNumberFormat="1" applyFont="1" applyFill="1" applyBorder="1" applyAlignment="1">
      <alignment horizontal="center" vertical="center" wrapText="1"/>
    </xf>
    <xf numFmtId="4" fontId="7" fillId="36" borderId="133" xfId="0" applyNumberFormat="1" applyFont="1" applyFill="1" applyBorder="1" applyAlignment="1">
      <alignment horizontal="center" vertical="center" wrapText="1"/>
    </xf>
    <xf numFmtId="2" fontId="10" fillId="36" borderId="133" xfId="1" applyNumberFormat="1" applyFont="1" applyFill="1" applyBorder="1" applyAlignment="1">
      <alignment horizontal="center" vertical="center"/>
    </xf>
    <xf numFmtId="0" fontId="10" fillId="0" borderId="118" xfId="0" quotePrefix="1" applyFont="1" applyBorder="1" applyAlignment="1">
      <alignment horizontal="center" vertical="center"/>
    </xf>
    <xf numFmtId="0" fontId="10" fillId="0" borderId="133" xfId="0" applyFont="1" applyFill="1" applyBorder="1" applyAlignment="1" applyProtection="1">
      <alignment horizontal="left" vertical="center" wrapText="1"/>
      <protection locked="0"/>
    </xf>
    <xf numFmtId="0" fontId="10" fillId="0" borderId="133" xfId="0" applyFont="1" applyFill="1" applyBorder="1" applyAlignment="1" applyProtection="1">
      <alignment horizontal="center" vertical="center"/>
      <protection locked="0"/>
    </xf>
    <xf numFmtId="43" fontId="10" fillId="0" borderId="133" xfId="1" applyFont="1" applyFill="1" applyBorder="1" applyAlignment="1">
      <alignment horizontal="center" vertical="center"/>
    </xf>
    <xf numFmtId="0" fontId="10" fillId="0" borderId="134" xfId="0" quotePrefix="1" applyFont="1" applyFill="1" applyBorder="1" applyAlignment="1">
      <alignment horizontal="center" vertical="center" wrapText="1"/>
    </xf>
    <xf numFmtId="2" fontId="10" fillId="6" borderId="120" xfId="1" applyNumberFormat="1" applyFont="1" applyFill="1" applyBorder="1" applyAlignment="1">
      <alignment horizontal="right" vertical="center"/>
    </xf>
    <xf numFmtId="10" fontId="17" fillId="0" borderId="120" xfId="0" applyNumberFormat="1" applyFont="1" applyBorder="1" applyAlignment="1">
      <alignment horizontal="right" vertical="center"/>
    </xf>
    <xf numFmtId="0" fontId="17" fillId="33" borderId="104" xfId="0" quotePrefix="1" applyFont="1" applyFill="1" applyBorder="1" applyAlignment="1">
      <alignment horizontal="center" vertical="center"/>
    </xf>
    <xf numFmtId="0" fontId="17" fillId="33" borderId="133" xfId="0" applyFont="1" applyFill="1" applyBorder="1" applyAlignment="1">
      <alignment horizontal="left" vertical="center" wrapText="1"/>
    </xf>
    <xf numFmtId="0" fontId="10" fillId="0" borderId="118" xfId="0" quotePrefix="1" applyFont="1" applyFill="1" applyBorder="1" applyAlignment="1">
      <alignment horizontal="center" vertical="center"/>
    </xf>
    <xf numFmtId="0" fontId="15" fillId="0" borderId="133" xfId="1" applyNumberFormat="1" applyFont="1" applyFill="1" applyBorder="1" applyAlignment="1">
      <alignment horizontal="center" vertical="center"/>
    </xf>
    <xf numFmtId="173" fontId="14" fillId="0" borderId="133" xfId="1" applyNumberFormat="1" applyFont="1" applyBorder="1" applyAlignment="1">
      <alignment horizontal="center" vertical="center"/>
    </xf>
    <xf numFmtId="0" fontId="9" fillId="0" borderId="133" xfId="1" applyNumberFormat="1" applyFont="1" applyFill="1" applyBorder="1" applyAlignment="1">
      <alignment horizontal="center" vertical="center"/>
    </xf>
    <xf numFmtId="0" fontId="9" fillId="6" borderId="133" xfId="0" quotePrefix="1" applyFont="1" applyFill="1" applyBorder="1" applyAlignment="1">
      <alignment horizontal="center" vertical="center" wrapText="1"/>
    </xf>
    <xf numFmtId="0" fontId="10" fillId="6" borderId="133" xfId="0" quotePrefix="1" applyFont="1" applyFill="1" applyBorder="1" applyAlignment="1">
      <alignment horizontal="center" vertical="center" wrapText="1"/>
    </xf>
    <xf numFmtId="0" fontId="10" fillId="6" borderId="123" xfId="0" quotePrefix="1" applyFont="1" applyFill="1" applyBorder="1" applyAlignment="1">
      <alignment horizontal="center" vertical="center" wrapText="1"/>
    </xf>
    <xf numFmtId="4" fontId="10" fillId="33" borderId="14" xfId="0" applyNumberFormat="1" applyFont="1" applyFill="1" applyBorder="1" applyAlignment="1">
      <alignment horizontal="right" vertical="center"/>
    </xf>
    <xf numFmtId="4" fontId="10" fillId="0" borderId="120" xfId="0" applyNumberFormat="1" applyFont="1" applyFill="1" applyBorder="1" applyAlignment="1">
      <alignment horizontal="right" vertical="center"/>
    </xf>
    <xf numFmtId="0" fontId="10" fillId="0" borderId="133" xfId="0" applyFont="1" applyBorder="1" applyAlignment="1">
      <alignment horizontal="left" vertical="center"/>
    </xf>
    <xf numFmtId="0" fontId="10" fillId="0" borderId="133" xfId="5" applyFont="1" applyBorder="1" applyAlignment="1">
      <alignment horizontal="left" vertical="center" wrapText="1"/>
    </xf>
    <xf numFmtId="2" fontId="10" fillId="0" borderId="120" xfId="0" applyNumberFormat="1" applyFont="1" applyBorder="1" applyAlignment="1">
      <alignment horizontal="right" vertical="center"/>
    </xf>
    <xf numFmtId="0" fontId="8" fillId="0" borderId="118" xfId="0" applyFont="1" applyBorder="1" applyAlignment="1">
      <alignment horizontal="center" vertical="center"/>
    </xf>
    <xf numFmtId="0" fontId="15" fillId="0" borderId="0" xfId="0" applyFont="1" applyBorder="1" applyAlignment="1">
      <alignment vertical="center"/>
    </xf>
    <xf numFmtId="0" fontId="2" fillId="0" borderId="0" xfId="0" applyFont="1" applyBorder="1" applyAlignment="1">
      <alignment horizontal="center" vertical="center"/>
    </xf>
    <xf numFmtId="164" fontId="15" fillId="0" borderId="0" xfId="0" applyNumberFormat="1" applyFont="1" applyFill="1" applyBorder="1" applyAlignment="1">
      <alignment vertical="center"/>
    </xf>
    <xf numFmtId="0" fontId="55" fillId="0" borderId="0" xfId="0" applyFont="1" applyBorder="1" applyAlignment="1">
      <alignment horizontal="center" vertical="center"/>
    </xf>
    <xf numFmtId="0" fontId="17" fillId="32" borderId="75" xfId="0" applyFont="1" applyFill="1" applyBorder="1" applyAlignment="1">
      <alignment horizontal="center" vertical="center"/>
    </xf>
    <xf numFmtId="0" fontId="17" fillId="32" borderId="28" xfId="0" applyFont="1" applyFill="1" applyBorder="1" applyAlignment="1">
      <alignment horizontal="center" vertical="center"/>
    </xf>
    <xf numFmtId="2" fontId="10" fillId="0" borderId="6" xfId="0" applyNumberFormat="1" applyFont="1" applyFill="1" applyBorder="1" applyAlignment="1">
      <alignment horizontal="right" vertical="center" wrapText="1"/>
    </xf>
    <xf numFmtId="0" fontId="9" fillId="0" borderId="113" xfId="0" applyFont="1" applyBorder="1" applyAlignment="1">
      <alignment horizontal="center" vertical="center"/>
    </xf>
    <xf numFmtId="0" fontId="10" fillId="0" borderId="113" xfId="0" applyFont="1" applyBorder="1" applyAlignment="1">
      <alignment horizontal="center" vertical="center"/>
    </xf>
    <xf numFmtId="0" fontId="8" fillId="0" borderId="113" xfId="0" applyFont="1" applyBorder="1" applyAlignment="1">
      <alignment vertical="center"/>
    </xf>
    <xf numFmtId="2" fontId="8" fillId="0" borderId="113" xfId="0" applyNumberFormat="1" applyFont="1" applyBorder="1" applyAlignment="1">
      <alignment horizontal="right" vertical="center" wrapText="1"/>
    </xf>
    <xf numFmtId="0" fontId="8" fillId="0" borderId="113" xfId="0" applyFont="1" applyBorder="1" applyAlignment="1">
      <alignment horizontal="center" vertical="center" wrapText="1"/>
    </xf>
    <xf numFmtId="4" fontId="7" fillId="0" borderId="113" xfId="1" applyNumberFormat="1" applyFont="1" applyBorder="1" applyAlignment="1">
      <alignment horizontal="right" vertical="center" wrapText="1"/>
    </xf>
    <xf numFmtId="164" fontId="17" fillId="0" borderId="113" xfId="0" applyNumberFormat="1" applyFont="1" applyBorder="1" applyAlignment="1">
      <alignment vertical="center" wrapText="1"/>
    </xf>
    <xf numFmtId="0" fontId="10" fillId="0" borderId="114" xfId="0" applyFont="1" applyBorder="1" applyAlignment="1">
      <alignment horizontal="right" vertical="center" wrapText="1"/>
    </xf>
    <xf numFmtId="0" fontId="10" fillId="0" borderId="104" xfId="0" quotePrefix="1" applyFont="1" applyFill="1" applyBorder="1" applyAlignment="1">
      <alignment horizontal="center" vertical="center"/>
    </xf>
    <xf numFmtId="0" fontId="10" fillId="0" borderId="57" xfId="0" quotePrefix="1" applyFont="1" applyBorder="1" applyAlignment="1">
      <alignment horizontal="left" vertical="center"/>
    </xf>
    <xf numFmtId="4" fontId="10" fillId="6" borderId="123" xfId="0" applyNumberFormat="1" applyFont="1" applyFill="1" applyBorder="1" applyAlignment="1">
      <alignment horizontal="right" vertical="center"/>
    </xf>
    <xf numFmtId="0" fontId="10" fillId="0" borderId="75" xfId="0" quotePrefix="1" applyFont="1" applyFill="1" applyBorder="1" applyAlignment="1">
      <alignment horizontal="center" vertical="center"/>
    </xf>
    <xf numFmtId="0" fontId="15" fillId="0" borderId="6" xfId="1" applyNumberFormat="1" applyFont="1" applyFill="1" applyBorder="1" applyAlignment="1">
      <alignment horizontal="center" vertical="center"/>
    </xf>
    <xf numFmtId="173" fontId="10" fillId="0" borderId="6" xfId="1" applyNumberFormat="1" applyFont="1" applyFill="1" applyBorder="1" applyAlignment="1">
      <alignment horizontal="left" vertical="center" wrapText="1"/>
    </xf>
    <xf numFmtId="0" fontId="17" fillId="33" borderId="133" xfId="0" applyFont="1" applyFill="1" applyBorder="1" applyAlignment="1">
      <alignment vertical="center" wrapText="1"/>
    </xf>
    <xf numFmtId="0" fontId="17" fillId="33" borderId="133" xfId="0" applyFont="1" applyFill="1" applyBorder="1" applyAlignment="1">
      <alignment horizontal="right" vertical="center" wrapText="1"/>
    </xf>
    <xf numFmtId="0" fontId="22" fillId="33" borderId="133" xfId="0" applyFont="1" applyFill="1" applyBorder="1" applyAlignment="1">
      <alignment horizontal="left" vertical="center" wrapText="1"/>
    </xf>
    <xf numFmtId="0" fontId="17" fillId="33" borderId="127" xfId="0" applyFont="1" applyFill="1" applyBorder="1" applyAlignment="1">
      <alignment horizontal="center" vertical="center"/>
    </xf>
    <xf numFmtId="0" fontId="7" fillId="33" borderId="123" xfId="0" quotePrefix="1" applyFont="1" applyFill="1" applyBorder="1" applyAlignment="1">
      <alignment horizontal="center" vertical="center"/>
    </xf>
    <xf numFmtId="0" fontId="7" fillId="33" borderId="123" xfId="0" applyFont="1" applyFill="1" applyBorder="1" applyAlignment="1">
      <alignment horizontal="left" vertical="center" wrapText="1"/>
    </xf>
    <xf numFmtId="0" fontId="29" fillId="33" borderId="123" xfId="0" applyNumberFormat="1" applyFont="1" applyFill="1" applyBorder="1" applyAlignment="1">
      <alignment horizontal="center" vertical="center" wrapText="1"/>
    </xf>
    <xf numFmtId="2" fontId="7" fillId="33" borderId="123" xfId="0" applyNumberFormat="1" applyFont="1" applyFill="1" applyBorder="1" applyAlignment="1">
      <alignment horizontal="right" vertical="center" wrapText="1"/>
    </xf>
    <xf numFmtId="167" fontId="10" fillId="33" borderId="119" xfId="0" applyNumberFormat="1" applyFont="1" applyFill="1" applyBorder="1" applyAlignment="1">
      <alignment horizontal="right" vertical="center" wrapText="1"/>
    </xf>
    <xf numFmtId="4" fontId="7" fillId="33" borderId="123" xfId="0" applyNumberFormat="1" applyFont="1" applyFill="1" applyBorder="1" applyAlignment="1">
      <alignment horizontal="right" vertical="center" wrapText="1"/>
    </xf>
    <xf numFmtId="0" fontId="17" fillId="5" borderId="133" xfId="0" applyFont="1" applyFill="1" applyBorder="1" applyAlignment="1">
      <alignment horizontal="left" vertical="center" wrapText="1"/>
    </xf>
    <xf numFmtId="0" fontId="29" fillId="2" borderId="133" xfId="0" applyNumberFormat="1" applyFont="1" applyFill="1" applyBorder="1" applyAlignment="1">
      <alignment horizontal="center" vertical="center" wrapText="1"/>
    </xf>
    <xf numFmtId="2" fontId="7" fillId="5" borderId="133" xfId="0" applyNumberFormat="1" applyFont="1" applyFill="1" applyBorder="1" applyAlignment="1">
      <alignment horizontal="right" vertical="center" wrapText="1"/>
    </xf>
    <xf numFmtId="4" fontId="7" fillId="2" borderId="133" xfId="0" applyNumberFormat="1" applyFont="1" applyFill="1" applyBorder="1" applyAlignment="1">
      <alignment horizontal="right" vertical="center" wrapText="1"/>
    </xf>
    <xf numFmtId="0" fontId="10" fillId="0" borderId="55" xfId="0" quotePrefix="1" applyFont="1" applyBorder="1" applyAlignment="1">
      <alignment horizontal="left" vertical="center"/>
    </xf>
    <xf numFmtId="2" fontId="17" fillId="5" borderId="133" xfId="0" applyNumberFormat="1" applyFont="1" applyFill="1" applyBorder="1" applyAlignment="1">
      <alignment horizontal="right" vertical="center" wrapText="1"/>
    </xf>
    <xf numFmtId="0" fontId="17" fillId="2" borderId="133" xfId="0" applyFont="1" applyFill="1" applyBorder="1" applyAlignment="1">
      <alignment horizontal="right" vertical="center" wrapText="1"/>
    </xf>
    <xf numFmtId="4" fontId="17" fillId="2" borderId="133" xfId="0" applyNumberFormat="1" applyFont="1" applyFill="1" applyBorder="1" applyAlignment="1">
      <alignment horizontal="right" vertical="center" wrapText="1"/>
    </xf>
    <xf numFmtId="4" fontId="10" fillId="0" borderId="55" xfId="0" applyNumberFormat="1" applyFont="1" applyBorder="1" applyAlignment="1">
      <alignment vertical="center"/>
    </xf>
    <xf numFmtId="4" fontId="17" fillId="0" borderId="59" xfId="0" applyNumberFormat="1" applyFont="1" applyBorder="1" applyAlignment="1">
      <alignment horizontal="right" vertical="center"/>
    </xf>
    <xf numFmtId="0" fontId="9" fillId="5" borderId="20" xfId="0" quotePrefix="1" applyFont="1" applyFill="1" applyBorder="1" applyAlignment="1">
      <alignment horizontal="center" vertical="center"/>
    </xf>
    <xf numFmtId="2" fontId="17" fillId="5" borderId="20" xfId="0" applyNumberFormat="1" applyFont="1" applyFill="1" applyBorder="1" applyAlignment="1">
      <alignment horizontal="center" vertical="center" wrapText="1"/>
    </xf>
    <xf numFmtId="4" fontId="10" fillId="5" borderId="20" xfId="0" applyNumberFormat="1" applyFont="1" applyFill="1" applyBorder="1" applyAlignment="1">
      <alignment vertical="center"/>
    </xf>
    <xf numFmtId="4" fontId="17" fillId="2" borderId="20" xfId="0" applyNumberFormat="1" applyFont="1" applyFill="1" applyBorder="1" applyAlignment="1">
      <alignment horizontal="center" vertical="center" wrapText="1"/>
    </xf>
    <xf numFmtId="0" fontId="22" fillId="33" borderId="104" xfId="0" quotePrefix="1" applyFont="1" applyFill="1" applyBorder="1" applyAlignment="1">
      <alignment horizontal="center" vertical="center"/>
    </xf>
    <xf numFmtId="0" fontId="17" fillId="33" borderId="14" xfId="0" applyFont="1" applyFill="1" applyBorder="1" applyAlignment="1">
      <alignment vertical="center" wrapText="1"/>
    </xf>
    <xf numFmtId="4" fontId="7" fillId="2" borderId="14" xfId="0" applyNumberFormat="1" applyFont="1" applyFill="1" applyBorder="1" applyAlignment="1">
      <alignment horizontal="center" vertical="center" wrapText="1"/>
    </xf>
    <xf numFmtId="0" fontId="9" fillId="0" borderId="133" xfId="0" applyFont="1" applyBorder="1" applyAlignment="1">
      <alignment horizontal="center" vertical="center"/>
    </xf>
    <xf numFmtId="0" fontId="17" fillId="0" borderId="45" xfId="0" applyFont="1" applyBorder="1" applyAlignment="1">
      <alignment vertical="center" wrapText="1"/>
    </xf>
    <xf numFmtId="4" fontId="7" fillId="0" borderId="43" xfId="0" applyNumberFormat="1" applyFont="1" applyBorder="1" applyAlignment="1">
      <alignment horizontal="right" vertical="center"/>
    </xf>
    <xf numFmtId="168" fontId="7" fillId="0" borderId="44" xfId="0" applyNumberFormat="1" applyFont="1" applyBorder="1" applyAlignment="1">
      <alignment horizontal="right" vertical="center"/>
    </xf>
    <xf numFmtId="0" fontId="0" fillId="0" borderId="31" xfId="0" applyBorder="1" applyAlignment="1">
      <alignment vertical="center"/>
    </xf>
    <xf numFmtId="169" fontId="17" fillId="0" borderId="11" xfId="1" applyNumberFormat="1" applyFont="1" applyBorder="1" applyAlignment="1">
      <alignment horizontal="right" vertical="center" wrapText="1"/>
    </xf>
    <xf numFmtId="4" fontId="10" fillId="3" borderId="55" xfId="0" applyNumberFormat="1" applyFont="1" applyFill="1" applyBorder="1" applyAlignment="1">
      <alignment horizontal="right" vertical="center"/>
    </xf>
    <xf numFmtId="0" fontId="1" fillId="0" borderId="0" xfId="57" applyProtection="1">
      <protection locked="0"/>
    </xf>
    <xf numFmtId="0" fontId="112" fillId="6" borderId="58" xfId="57" applyFont="1" applyFill="1" applyBorder="1" applyAlignment="1" applyProtection="1">
      <alignment vertical="center" wrapText="1"/>
      <protection locked="0"/>
    </xf>
    <xf numFmtId="0" fontId="1" fillId="0" borderId="134" xfId="57" applyBorder="1" applyAlignment="1" applyProtection="1">
      <alignment horizontal="center" vertical="center"/>
      <protection locked="0"/>
    </xf>
    <xf numFmtId="0" fontId="1" fillId="0" borderId="133" xfId="57" applyBorder="1" applyAlignment="1" applyProtection="1">
      <alignment horizontal="center" vertical="center"/>
      <protection locked="0"/>
    </xf>
    <xf numFmtId="10" fontId="113" fillId="6" borderId="57" xfId="57" applyNumberFormat="1" applyFont="1" applyFill="1" applyBorder="1" applyAlignment="1" applyProtection="1">
      <alignment horizontal="left" vertical="center"/>
      <protection locked="0"/>
    </xf>
    <xf numFmtId="4" fontId="1" fillId="0" borderId="133" xfId="59" applyNumberFormat="1" applyFont="1" applyBorder="1" applyAlignment="1" applyProtection="1">
      <alignment vertical="center"/>
      <protection locked="0"/>
    </xf>
    <xf numFmtId="44" fontId="1" fillId="0" borderId="133" xfId="60" applyFont="1" applyBorder="1" applyAlignment="1" applyProtection="1">
      <alignment vertical="center"/>
      <protection locked="0"/>
    </xf>
    <xf numFmtId="10" fontId="1" fillId="0" borderId="134" xfId="58" applyNumberFormat="1" applyFont="1" applyBorder="1" applyAlignment="1" applyProtection="1">
      <alignment horizontal="center" vertical="center"/>
      <protection locked="0"/>
    </xf>
    <xf numFmtId="43" fontId="1" fillId="0" borderId="133" xfId="60" applyNumberFormat="1" applyFont="1" applyBorder="1" applyAlignment="1" applyProtection="1">
      <alignment horizontal="center" vertical="center"/>
      <protection locked="0"/>
    </xf>
    <xf numFmtId="0" fontId="112" fillId="6" borderId="77" xfId="57" applyFont="1" applyFill="1" applyBorder="1" applyAlignment="1" applyProtection="1">
      <alignment vertical="center" wrapText="1"/>
      <protection locked="0"/>
    </xf>
    <xf numFmtId="10" fontId="102" fillId="6" borderId="133" xfId="58" applyNumberFormat="1" applyFont="1" applyFill="1" applyBorder="1" applyAlignment="1" applyProtection="1">
      <alignment horizontal="center" vertical="center"/>
      <protection locked="0"/>
    </xf>
    <xf numFmtId="0" fontId="112" fillId="0" borderId="134" xfId="57" applyFont="1" applyBorder="1" applyAlignment="1" applyProtection="1">
      <alignment horizontal="center" vertical="center" wrapText="1"/>
      <protection locked="0"/>
    </xf>
    <xf numFmtId="0" fontId="112" fillId="0" borderId="133" xfId="57" applyFont="1" applyBorder="1" applyAlignment="1" applyProtection="1">
      <alignment horizontal="center" vertical="center"/>
      <protection locked="0"/>
    </xf>
    <xf numFmtId="0" fontId="0" fillId="0" borderId="0" xfId="0" applyProtection="1">
      <protection locked="0"/>
    </xf>
    <xf numFmtId="1" fontId="112" fillId="44" borderId="133" xfId="57" applyNumberFormat="1" applyFont="1" applyFill="1" applyBorder="1" applyAlignment="1" applyProtection="1">
      <alignment horizontal="center" vertical="center" wrapText="1"/>
      <protection hidden="1"/>
    </xf>
    <xf numFmtId="0" fontId="112" fillId="44" borderId="133" xfId="57" applyFont="1" applyFill="1" applyBorder="1" applyAlignment="1" applyProtection="1">
      <alignment horizontal="center" vertical="center"/>
      <protection hidden="1"/>
    </xf>
    <xf numFmtId="43" fontId="1" fillId="0" borderId="0" xfId="57" applyNumberFormat="1" applyProtection="1">
      <protection hidden="1"/>
    </xf>
    <xf numFmtId="2" fontId="0" fillId="0" borderId="0" xfId="0" applyNumberFormat="1" applyProtection="1">
      <protection hidden="1"/>
    </xf>
    <xf numFmtId="0" fontId="112" fillId="6" borderId="6" xfId="57" applyFont="1" applyFill="1" applyBorder="1" applyAlignment="1" applyProtection="1">
      <alignment horizontal="center" vertical="center" wrapText="1"/>
      <protection hidden="1"/>
    </xf>
    <xf numFmtId="0" fontId="112" fillId="6" borderId="77" xfId="57" applyFont="1" applyFill="1" applyBorder="1" applyAlignment="1" applyProtection="1">
      <alignment horizontal="center" vertical="center" wrapText="1"/>
      <protection hidden="1"/>
    </xf>
    <xf numFmtId="0" fontId="112" fillId="6" borderId="3" xfId="57" applyFont="1" applyFill="1" applyBorder="1" applyAlignment="1" applyProtection="1">
      <alignment horizontal="center" vertical="center" wrapText="1"/>
      <protection hidden="1"/>
    </xf>
    <xf numFmtId="0" fontId="112" fillId="6" borderId="3" xfId="57" applyFont="1" applyFill="1" applyBorder="1" applyAlignment="1" applyProtection="1">
      <alignment horizontal="left" vertical="center" wrapText="1"/>
      <protection hidden="1"/>
    </xf>
    <xf numFmtId="2" fontId="112" fillId="6" borderId="3" xfId="57" applyNumberFormat="1" applyFont="1" applyFill="1" applyBorder="1" applyAlignment="1" applyProtection="1">
      <alignment horizontal="center" vertical="center" wrapText="1"/>
      <protection hidden="1"/>
    </xf>
    <xf numFmtId="43" fontId="112" fillId="6" borderId="3" xfId="61" applyFont="1" applyFill="1" applyBorder="1" applyAlignment="1" applyProtection="1">
      <alignment horizontal="center" vertical="center" wrapText="1"/>
      <protection hidden="1"/>
    </xf>
    <xf numFmtId="0" fontId="112" fillId="6" borderId="2" xfId="57" applyFont="1" applyFill="1" applyBorder="1" applyAlignment="1" applyProtection="1">
      <alignment horizontal="center" vertical="center" wrapText="1"/>
      <protection hidden="1"/>
    </xf>
    <xf numFmtId="0" fontId="1" fillId="0" borderId="0" xfId="57" applyProtection="1">
      <protection hidden="1"/>
    </xf>
    <xf numFmtId="4" fontId="0" fillId="0" borderId="0" xfId="0" applyNumberFormat="1" applyProtection="1">
      <protection locked="0"/>
    </xf>
    <xf numFmtId="0" fontId="113" fillId="6" borderId="58" xfId="57" applyFont="1" applyFill="1" applyBorder="1" applyAlignment="1" applyProtection="1">
      <alignment horizontal="center" vertical="center" wrapText="1"/>
      <protection hidden="1"/>
    </xf>
    <xf numFmtId="0" fontId="113" fillId="6" borderId="0" xfId="57" applyFont="1" applyFill="1" applyAlignment="1" applyProtection="1">
      <alignment horizontal="center" vertical="center" wrapText="1"/>
      <protection hidden="1"/>
    </xf>
    <xf numFmtId="0" fontId="113" fillId="6" borderId="0" xfId="57" applyFont="1" applyFill="1" applyAlignment="1" applyProtection="1">
      <alignment horizontal="left" vertical="center" wrapText="1"/>
      <protection hidden="1"/>
    </xf>
    <xf numFmtId="0" fontId="113" fillId="6" borderId="0" xfId="57" applyFont="1" applyFill="1" applyAlignment="1" applyProtection="1">
      <alignment horizontal="center" vertical="center"/>
      <protection hidden="1"/>
    </xf>
    <xf numFmtId="4" fontId="113" fillId="6" borderId="0" xfId="61" applyNumberFormat="1" applyFont="1" applyFill="1" applyBorder="1" applyAlignment="1" applyProtection="1">
      <alignment horizontal="center" vertical="center"/>
      <protection hidden="1"/>
    </xf>
    <xf numFmtId="44" fontId="113" fillId="6" borderId="0" xfId="60" applyFont="1" applyFill="1" applyBorder="1" applyAlignment="1" applyProtection="1">
      <alignment horizontal="center" vertical="center"/>
      <protection hidden="1"/>
    </xf>
    <xf numFmtId="44" fontId="113" fillId="6" borderId="57" xfId="60" applyFont="1" applyFill="1" applyBorder="1" applyAlignment="1" applyProtection="1">
      <alignment horizontal="center" vertical="center"/>
      <protection hidden="1"/>
    </xf>
    <xf numFmtId="0" fontId="0" fillId="0" borderId="0" xfId="0" applyProtection="1">
      <protection hidden="1"/>
    </xf>
    <xf numFmtId="182" fontId="112" fillId="0" borderId="123" xfId="62" applyNumberFormat="1" applyFont="1" applyBorder="1" applyAlignment="1" applyProtection="1">
      <alignment horizontal="right" vertical="center"/>
      <protection hidden="1"/>
    </xf>
    <xf numFmtId="167" fontId="113" fillId="6" borderId="0" xfId="61" applyNumberFormat="1" applyFont="1" applyFill="1" applyBorder="1" applyAlignment="1" applyProtection="1">
      <alignment horizontal="center" vertical="center"/>
      <protection hidden="1"/>
    </xf>
    <xf numFmtId="0" fontId="113" fillId="6" borderId="0" xfId="61" applyNumberFormat="1" applyFont="1" applyFill="1" applyBorder="1" applyAlignment="1" applyProtection="1">
      <alignment horizontal="center" vertical="center"/>
      <protection hidden="1"/>
    </xf>
    <xf numFmtId="2" fontId="113" fillId="6" borderId="0" xfId="61" applyNumberFormat="1" applyFont="1" applyFill="1" applyBorder="1" applyAlignment="1" applyProtection="1">
      <alignment horizontal="center" vertical="center"/>
      <protection hidden="1"/>
    </xf>
    <xf numFmtId="171" fontId="113" fillId="6" borderId="0" xfId="61" applyNumberFormat="1" applyFont="1" applyFill="1" applyBorder="1" applyAlignment="1" applyProtection="1">
      <alignment horizontal="center" vertical="center"/>
      <protection hidden="1"/>
    </xf>
    <xf numFmtId="176" fontId="113" fillId="6" borderId="0" xfId="61" applyNumberFormat="1" applyFont="1" applyFill="1" applyBorder="1" applyAlignment="1" applyProtection="1">
      <alignment horizontal="center" vertical="center"/>
      <protection hidden="1"/>
    </xf>
    <xf numFmtId="172" fontId="113" fillId="6" borderId="0" xfId="61" applyNumberFormat="1" applyFont="1" applyFill="1" applyBorder="1" applyAlignment="1" applyProtection="1">
      <alignment horizontal="center" vertical="center"/>
      <protection hidden="1"/>
    </xf>
    <xf numFmtId="178" fontId="113" fillId="6" borderId="0" xfId="61" applyNumberFormat="1" applyFont="1" applyFill="1" applyBorder="1" applyAlignment="1" applyProtection="1">
      <alignment horizontal="center" vertical="center"/>
      <protection hidden="1"/>
    </xf>
    <xf numFmtId="167" fontId="113" fillId="6" borderId="0" xfId="57" applyNumberFormat="1" applyFont="1" applyFill="1" applyAlignment="1" applyProtection="1">
      <alignment horizontal="center" vertical="center"/>
      <protection hidden="1"/>
    </xf>
    <xf numFmtId="164" fontId="113" fillId="6" borderId="0" xfId="61" applyNumberFormat="1" applyFont="1" applyFill="1" applyBorder="1" applyAlignment="1" applyProtection="1">
      <alignment horizontal="center" vertical="center"/>
      <protection hidden="1"/>
    </xf>
    <xf numFmtId="179" fontId="113" fillId="6" borderId="0" xfId="61" applyNumberFormat="1" applyFont="1" applyFill="1" applyBorder="1" applyAlignment="1" applyProtection="1">
      <alignment horizontal="center" vertical="center"/>
      <protection hidden="1"/>
    </xf>
    <xf numFmtId="166" fontId="113" fillId="6" borderId="0" xfId="57" applyNumberFormat="1" applyFont="1" applyFill="1" applyAlignment="1" applyProtection="1">
      <alignment horizontal="center" vertical="center" wrapText="1"/>
      <protection hidden="1"/>
    </xf>
    <xf numFmtId="175" fontId="113" fillId="6" borderId="0" xfId="61" applyNumberFormat="1" applyFont="1" applyFill="1" applyBorder="1" applyAlignment="1" applyProtection="1">
      <alignment horizontal="center" vertical="center"/>
      <protection hidden="1"/>
    </xf>
    <xf numFmtId="173" fontId="113" fillId="6" borderId="0" xfId="61" applyNumberFormat="1" applyFont="1" applyFill="1" applyBorder="1" applyAlignment="1" applyProtection="1">
      <alignment horizontal="center" vertical="center"/>
      <protection hidden="1"/>
    </xf>
    <xf numFmtId="0" fontId="113" fillId="6" borderId="0" xfId="57" quotePrefix="1" applyFont="1" applyFill="1" applyAlignment="1" applyProtection="1">
      <alignment horizontal="center" vertical="center" wrapText="1"/>
      <protection hidden="1"/>
    </xf>
    <xf numFmtId="0" fontId="9" fillId="6" borderId="134" xfId="0" applyFont="1" applyFill="1" applyBorder="1" applyAlignment="1">
      <alignment horizontal="center" vertical="center"/>
    </xf>
    <xf numFmtId="167" fontId="0" fillId="0" borderId="0" xfId="0" applyNumberFormat="1"/>
    <xf numFmtId="4" fontId="0" fillId="0" borderId="0" xfId="0" applyNumberFormat="1"/>
    <xf numFmtId="164" fontId="0" fillId="0" borderId="0" xfId="0" applyNumberFormat="1"/>
    <xf numFmtId="14" fontId="0" fillId="0" borderId="0" xfId="0" applyNumberFormat="1"/>
    <xf numFmtId="10" fontId="0" fillId="0" borderId="0" xfId="0" applyNumberFormat="1"/>
    <xf numFmtId="0" fontId="15" fillId="6" borderId="24" xfId="0" applyFont="1" applyFill="1" applyBorder="1" applyAlignment="1">
      <alignment vertical="center"/>
    </xf>
    <xf numFmtId="0" fontId="15" fillId="6" borderId="31" xfId="0" applyFont="1" applyFill="1" applyBorder="1" applyAlignment="1">
      <alignment vertical="center"/>
    </xf>
    <xf numFmtId="0" fontId="3" fillId="6" borderId="31" xfId="0" applyFont="1" applyFill="1" applyBorder="1" applyAlignment="1">
      <alignment vertical="center"/>
    </xf>
    <xf numFmtId="0" fontId="4" fillId="6" borderId="31" xfId="0" applyFont="1" applyFill="1" applyBorder="1" applyAlignment="1">
      <alignment vertical="center"/>
    </xf>
    <xf numFmtId="0" fontId="15" fillId="6" borderId="0" xfId="0" applyFont="1" applyFill="1" applyBorder="1" applyAlignment="1">
      <alignment vertical="center" wrapText="1"/>
    </xf>
    <xf numFmtId="0" fontId="7" fillId="6" borderId="0" xfId="0" applyFont="1" applyFill="1" applyBorder="1" applyAlignment="1">
      <alignment horizontal="center" vertical="center" wrapText="1"/>
    </xf>
    <xf numFmtId="0" fontId="6" fillId="6" borderId="0" xfId="0" applyFont="1" applyFill="1" applyBorder="1" applyAlignment="1">
      <alignment vertical="center" wrapText="1"/>
    </xf>
    <xf numFmtId="0" fontId="5" fillId="6" borderId="0" xfId="0" applyFont="1" applyFill="1" applyBorder="1" applyAlignment="1">
      <alignment horizontal="center" vertical="center" wrapText="1"/>
    </xf>
    <xf numFmtId="0" fontId="114" fillId="46" borderId="139" xfId="0" applyFont="1" applyFill="1" applyBorder="1" applyAlignment="1">
      <alignment horizontal="right"/>
    </xf>
    <xf numFmtId="0" fontId="118" fillId="6" borderId="55" xfId="0" applyFont="1" applyFill="1" applyBorder="1" applyAlignment="1">
      <alignment horizontal="center" vertical="center" wrapText="1"/>
    </xf>
    <xf numFmtId="0" fontId="118" fillId="6" borderId="59" xfId="0" applyFont="1" applyFill="1" applyBorder="1" applyAlignment="1">
      <alignment horizontal="center" vertical="center" wrapText="1"/>
    </xf>
    <xf numFmtId="0" fontId="120" fillId="0" borderId="15" xfId="64" applyFont="1" applyBorder="1" applyAlignment="1">
      <alignment horizontal="center" vertical="center" wrapText="1"/>
    </xf>
    <xf numFmtId="0" fontId="120" fillId="0" borderId="55" xfId="64" applyFont="1" applyBorder="1" applyAlignment="1">
      <alignment horizontal="left" vertical="center" wrapText="1"/>
    </xf>
    <xf numFmtId="10" fontId="120" fillId="0" borderId="55" xfId="65" applyNumberFormat="1" applyFont="1" applyBorder="1" applyAlignment="1">
      <alignment horizontal="center" vertical="center" wrapText="1"/>
    </xf>
    <xf numFmtId="10" fontId="120" fillId="0" borderId="59" xfId="65" applyNumberFormat="1" applyFont="1" applyBorder="1" applyAlignment="1">
      <alignment horizontal="center" vertical="center" wrapText="1"/>
    </xf>
    <xf numFmtId="0" fontId="121" fillId="0" borderId="15" xfId="64" applyFont="1" applyBorder="1" applyAlignment="1">
      <alignment horizontal="center" vertical="center" wrapText="1"/>
    </xf>
    <xf numFmtId="0" fontId="121" fillId="0" borderId="55" xfId="64" applyFont="1" applyBorder="1" applyAlignment="1">
      <alignment horizontal="center" vertical="center" wrapText="1"/>
    </xf>
    <xf numFmtId="10" fontId="121" fillId="0" borderId="55" xfId="65" applyNumberFormat="1" applyFont="1" applyBorder="1" applyAlignment="1">
      <alignment horizontal="center" vertical="center" wrapText="1"/>
    </xf>
    <xf numFmtId="10" fontId="121" fillId="0" borderId="59" xfId="65" applyNumberFormat="1" applyFont="1" applyBorder="1" applyAlignment="1">
      <alignment horizontal="center" vertical="center" wrapText="1"/>
    </xf>
    <xf numFmtId="0" fontId="119" fillId="47" borderId="15" xfId="0" applyFont="1" applyFill="1" applyBorder="1" applyAlignment="1">
      <alignment vertical="center"/>
    </xf>
    <xf numFmtId="0" fontId="119" fillId="47" borderId="55" xfId="0" applyFont="1" applyFill="1" applyBorder="1" applyAlignment="1">
      <alignment vertical="center"/>
    </xf>
    <xf numFmtId="0" fontId="119" fillId="47" borderId="59" xfId="0" applyFont="1" applyFill="1" applyBorder="1" applyAlignment="1">
      <alignment vertical="center"/>
    </xf>
    <xf numFmtId="0" fontId="119" fillId="47" borderId="116" xfId="0" applyFont="1" applyFill="1" applyBorder="1" applyAlignment="1">
      <alignment vertical="center"/>
    </xf>
    <xf numFmtId="0" fontId="119" fillId="47" borderId="131" xfId="0" applyFont="1" applyFill="1" applyBorder="1" applyAlignment="1">
      <alignment vertical="center"/>
    </xf>
    <xf numFmtId="10" fontId="119" fillId="47" borderId="120" xfId="0" applyNumberFormat="1" applyFont="1" applyFill="1" applyBorder="1" applyAlignment="1">
      <alignment horizontal="center" vertical="center"/>
    </xf>
    <xf numFmtId="10" fontId="119" fillId="47" borderId="17" xfId="0" applyNumberFormat="1" applyFont="1" applyFill="1" applyBorder="1" applyAlignment="1">
      <alignment horizontal="center" vertical="center"/>
    </xf>
    <xf numFmtId="0" fontId="0" fillId="0" borderId="0" xfId="0" applyAlignment="1">
      <alignment horizontal="right"/>
    </xf>
    <xf numFmtId="0" fontId="0" fillId="6" borderId="0" xfId="0" applyFill="1"/>
    <xf numFmtId="0" fontId="0" fillId="6" borderId="0" xfId="0" applyFill="1" applyAlignment="1">
      <alignment horizontal="right"/>
    </xf>
    <xf numFmtId="0" fontId="0" fillId="0" borderId="0" xfId="0" applyBorder="1" applyAlignment="1">
      <alignment horizontal="right"/>
    </xf>
    <xf numFmtId="0" fontId="3" fillId="6" borderId="0" xfId="0" applyFont="1" applyFill="1" applyBorder="1" applyAlignment="1">
      <alignment vertical="center"/>
    </xf>
    <xf numFmtId="0" fontId="26" fillId="6" borderId="0" xfId="0" applyFont="1" applyFill="1" applyBorder="1" applyAlignment="1">
      <alignment vertical="center"/>
    </xf>
    <xf numFmtId="0" fontId="2" fillId="6" borderId="0" xfId="0" applyFont="1" applyFill="1" applyBorder="1" applyAlignment="1">
      <alignment vertical="center"/>
    </xf>
    <xf numFmtId="0" fontId="12" fillId="6" borderId="0" xfId="0" applyFont="1" applyFill="1" applyBorder="1" applyAlignment="1">
      <alignment vertical="center"/>
    </xf>
    <xf numFmtId="0" fontId="0" fillId="6" borderId="0" xfId="0" applyFill="1" applyBorder="1" applyAlignment="1">
      <alignment vertical="center"/>
    </xf>
    <xf numFmtId="0" fontId="7" fillId="0" borderId="10" xfId="0" applyFont="1" applyFill="1" applyBorder="1" applyAlignment="1">
      <alignment vertical="center"/>
    </xf>
    <xf numFmtId="0" fontId="8" fillId="0" borderId="0" xfId="0" applyFont="1" applyFill="1" applyBorder="1" applyAlignment="1">
      <alignment vertical="center" wrapText="1"/>
    </xf>
    <xf numFmtId="0" fontId="0" fillId="0" borderId="0" xfId="0" applyBorder="1" applyAlignment="1">
      <alignment vertical="center" wrapText="1"/>
    </xf>
    <xf numFmtId="0" fontId="8" fillId="0" borderId="11" xfId="0" applyFont="1" applyBorder="1" applyAlignment="1">
      <alignment vertical="center"/>
    </xf>
    <xf numFmtId="0" fontId="0" fillId="6" borderId="119" xfId="0" applyFill="1" applyBorder="1" applyAlignment="1">
      <alignment vertical="center"/>
    </xf>
    <xf numFmtId="0" fontId="3" fillId="6" borderId="102" xfId="0" applyFont="1" applyFill="1" applyBorder="1" applyAlignment="1">
      <alignment vertical="center"/>
    </xf>
    <xf numFmtId="0" fontId="26" fillId="6" borderId="102" xfId="0" applyFont="1" applyFill="1" applyBorder="1" applyAlignment="1">
      <alignment vertical="center"/>
    </xf>
    <xf numFmtId="0" fontId="26" fillId="6" borderId="126" xfId="0" applyFont="1" applyFill="1" applyBorder="1" applyAlignment="1">
      <alignment vertical="center"/>
    </xf>
    <xf numFmtId="0" fontId="0" fillId="6" borderId="58" xfId="0" applyFill="1" applyBorder="1" applyAlignment="1">
      <alignment vertical="center"/>
    </xf>
    <xf numFmtId="0" fontId="26" fillId="6" borderId="57" xfId="0" applyFont="1" applyFill="1" applyBorder="1" applyAlignment="1">
      <alignment vertical="center"/>
    </xf>
    <xf numFmtId="0" fontId="0" fillId="6" borderId="57" xfId="0" applyFill="1" applyBorder="1" applyAlignment="1">
      <alignment vertical="center"/>
    </xf>
    <xf numFmtId="0" fontId="0" fillId="6" borderId="77" xfId="0" applyFill="1" applyBorder="1" applyAlignment="1">
      <alignment vertical="center"/>
    </xf>
    <xf numFmtId="0" fontId="12" fillId="6" borderId="3" xfId="0" applyFont="1" applyFill="1" applyBorder="1" applyAlignment="1">
      <alignment vertical="center"/>
    </xf>
    <xf numFmtId="0" fontId="0" fillId="6" borderId="3" xfId="0" applyFill="1" applyBorder="1" applyAlignment="1">
      <alignment vertical="center"/>
    </xf>
    <xf numFmtId="0" fontId="0" fillId="6" borderId="2" xfId="0" applyFill="1" applyBorder="1" applyAlignment="1">
      <alignment vertical="center"/>
    </xf>
    <xf numFmtId="0" fontId="0" fillId="6" borderId="0" xfId="0" applyFill="1" applyAlignment="1">
      <alignment horizontal="center"/>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26" fillId="6" borderId="0" xfId="0" applyFont="1" applyFill="1" applyBorder="1" applyAlignment="1">
      <alignment horizontal="center" vertical="center"/>
    </xf>
    <xf numFmtId="0" fontId="8" fillId="0" borderId="31"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0" fillId="0" borderId="0" xfId="0" applyFont="1" applyBorder="1" applyAlignment="1">
      <alignment vertical="center" wrapText="1"/>
    </xf>
    <xf numFmtId="0" fontId="10" fillId="0" borderId="43" xfId="0" applyFont="1" applyBorder="1" applyAlignment="1">
      <alignment vertical="center" wrapText="1"/>
    </xf>
    <xf numFmtId="0" fontId="0" fillId="0" borderId="43" xfId="0" applyFont="1" applyBorder="1" applyAlignment="1">
      <alignment vertical="center" wrapText="1"/>
    </xf>
    <xf numFmtId="0" fontId="7" fillId="0" borderId="50"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3" xfId="0" applyFont="1" applyBorder="1" applyAlignment="1">
      <alignment horizontal="center" vertical="center" wrapText="1"/>
    </xf>
    <xf numFmtId="0" fontId="0" fillId="0" borderId="3" xfId="0" applyBorder="1" applyAlignment="1">
      <alignment horizontal="center" vertical="center" wrapText="1"/>
    </xf>
    <xf numFmtId="0" fontId="17" fillId="0" borderId="3" xfId="0" applyFont="1" applyBorder="1" applyAlignment="1">
      <alignment horizontal="left" vertical="center" wrapText="1"/>
    </xf>
    <xf numFmtId="0" fontId="0" fillId="0" borderId="2" xfId="0" applyFont="1" applyBorder="1" applyAlignment="1">
      <alignment vertical="center" wrapText="1"/>
    </xf>
    <xf numFmtId="0" fontId="0" fillId="0" borderId="8" xfId="0" applyFont="1" applyBorder="1" applyAlignment="1">
      <alignment vertical="center" wrapText="1"/>
    </xf>
    <xf numFmtId="0" fontId="7" fillId="4" borderId="23" xfId="0" applyFont="1" applyFill="1" applyBorder="1" applyAlignment="1">
      <alignment horizontal="left" vertical="center" wrapText="1"/>
    </xf>
    <xf numFmtId="0" fontId="0" fillId="0" borderId="8" xfId="0" applyBorder="1" applyAlignment="1">
      <alignment horizontal="left" vertical="center" wrapText="1"/>
    </xf>
    <xf numFmtId="4" fontId="7" fillId="0" borderId="5" xfId="1" applyNumberFormat="1" applyFont="1" applyBorder="1" applyAlignment="1">
      <alignment horizontal="left" vertical="center" wrapText="1"/>
    </xf>
    <xf numFmtId="0" fontId="0" fillId="0" borderId="30" xfId="0" applyBorder="1" applyAlignment="1">
      <alignment horizontal="left" vertical="center" wrapText="1"/>
    </xf>
    <xf numFmtId="0" fontId="17" fillId="4" borderId="127" xfId="0" applyFont="1" applyFill="1" applyBorder="1" applyAlignment="1">
      <alignment horizontal="center" vertical="center" wrapText="1"/>
    </xf>
    <xf numFmtId="0" fontId="17" fillId="4" borderId="123" xfId="0" applyFont="1" applyFill="1" applyBorder="1" applyAlignment="1">
      <alignment horizontal="center" vertical="center" wrapText="1"/>
    </xf>
    <xf numFmtId="0" fontId="10" fillId="0" borderId="119" xfId="0" applyFont="1" applyBorder="1" applyAlignment="1">
      <alignment horizontal="center" vertical="center" wrapText="1"/>
    </xf>
    <xf numFmtId="0" fontId="17" fillId="0" borderId="5"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0" fillId="0" borderId="0" xfId="0" applyAlignment="1">
      <alignment horizontal="center"/>
    </xf>
    <xf numFmtId="0" fontId="26" fillId="0" borderId="0" xfId="0" applyFont="1" applyBorder="1" applyAlignment="1">
      <alignment horizontal="center" vertical="center"/>
    </xf>
    <xf numFmtId="0" fontId="10" fillId="0" borderId="31" xfId="0" applyFont="1" applyBorder="1" applyAlignment="1">
      <alignment horizontal="left" vertical="center" wrapText="1"/>
    </xf>
    <xf numFmtId="0" fontId="0" fillId="0" borderId="113" xfId="0" applyBorder="1" applyAlignment="1">
      <alignment horizontal="center"/>
    </xf>
    <xf numFmtId="0" fontId="23" fillId="0" borderId="4" xfId="0" applyFont="1" applyBorder="1" applyAlignment="1">
      <alignment horizontal="left" vertical="center"/>
    </xf>
    <xf numFmtId="0" fontId="10" fillId="0" borderId="0" xfId="0" applyFont="1" applyBorder="1" applyAlignment="1">
      <alignment horizontal="center" vertical="center" wrapText="1"/>
    </xf>
    <xf numFmtId="2" fontId="9" fillId="0" borderId="4" xfId="0" applyNumberFormat="1" applyFont="1" applyFill="1" applyBorder="1" applyAlignment="1">
      <alignment horizontal="left" vertical="center" wrapText="1"/>
    </xf>
    <xf numFmtId="0" fontId="7" fillId="0" borderId="20" xfId="0" applyFont="1" applyBorder="1" applyAlignment="1">
      <alignment horizontal="center" vertical="center"/>
    </xf>
    <xf numFmtId="0" fontId="8" fillId="0" borderId="20" xfId="0" applyFont="1" applyBorder="1" applyAlignment="1">
      <alignment vertical="center"/>
    </xf>
    <xf numFmtId="0" fontId="7" fillId="4" borderId="133" xfId="0" applyFont="1" applyFill="1" applyBorder="1" applyAlignment="1">
      <alignment horizontal="right" vertical="center" wrapText="1"/>
    </xf>
    <xf numFmtId="0" fontId="0" fillId="0" borderId="133" xfId="0" applyBorder="1" applyAlignment="1">
      <alignment horizontal="right" vertical="center" wrapText="1"/>
    </xf>
    <xf numFmtId="4" fontId="7" fillId="0" borderId="133" xfId="0" applyNumberFormat="1" applyFont="1" applyBorder="1" applyAlignment="1">
      <alignment horizontal="left" vertical="center" wrapText="1"/>
    </xf>
    <xf numFmtId="0" fontId="7" fillId="0" borderId="133" xfId="0" applyFont="1" applyBorder="1" applyAlignment="1">
      <alignment horizontal="left" vertical="center" wrapText="1"/>
    </xf>
    <xf numFmtId="0" fontId="0" fillId="0" borderId="3" xfId="0" applyBorder="1" applyAlignment="1">
      <alignment horizontal="center"/>
    </xf>
    <xf numFmtId="0" fontId="112" fillId="6" borderId="119" xfId="57" applyFont="1" applyFill="1" applyBorder="1" applyAlignment="1" applyProtection="1">
      <alignment horizontal="center" vertical="center"/>
      <protection locked="0"/>
    </xf>
    <xf numFmtId="0" fontId="112" fillId="6" borderId="102" xfId="57" applyFont="1" applyFill="1" applyBorder="1" applyAlignment="1" applyProtection="1">
      <alignment horizontal="center" vertical="center"/>
      <protection locked="0"/>
    </xf>
    <xf numFmtId="0" fontId="112" fillId="6" borderId="126" xfId="57" applyFont="1" applyFill="1" applyBorder="1" applyAlignment="1" applyProtection="1">
      <alignment horizontal="center" vertical="center"/>
      <protection locked="0"/>
    </xf>
    <xf numFmtId="0" fontId="112" fillId="6" borderId="77" xfId="57" applyFont="1" applyFill="1" applyBorder="1" applyAlignment="1" applyProtection="1">
      <alignment horizontal="center" vertical="center"/>
      <protection locked="0"/>
    </xf>
    <xf numFmtId="0" fontId="112" fillId="6" borderId="3" xfId="57" applyFont="1" applyFill="1" applyBorder="1" applyAlignment="1" applyProtection="1">
      <alignment horizontal="center" vertical="center"/>
      <protection locked="0"/>
    </xf>
    <xf numFmtId="0" fontId="112" fillId="6" borderId="2" xfId="57" applyFont="1" applyFill="1" applyBorder="1" applyAlignment="1" applyProtection="1">
      <alignment horizontal="center" vertical="center"/>
      <protection locked="0"/>
    </xf>
    <xf numFmtId="10" fontId="102" fillId="3" borderId="133" xfId="58" applyNumberFormat="1" applyFont="1" applyFill="1" applyBorder="1" applyAlignment="1" applyProtection="1">
      <alignment horizontal="center" vertical="center" wrapText="1"/>
      <protection locked="0"/>
    </xf>
    <xf numFmtId="0" fontId="1" fillId="0" borderId="133" xfId="57" applyBorder="1" applyAlignment="1" applyProtection="1">
      <alignment horizontal="center" vertical="center"/>
      <protection locked="0"/>
    </xf>
    <xf numFmtId="1" fontId="113" fillId="6" borderId="0" xfId="57" applyNumberFormat="1" applyFont="1" applyFill="1" applyAlignment="1" applyProtection="1">
      <alignment horizontal="left" vertical="center" wrapText="1"/>
      <protection locked="0"/>
    </xf>
    <xf numFmtId="0" fontId="113" fillId="6" borderId="0" xfId="57" applyFont="1" applyFill="1" applyAlignment="1" applyProtection="1">
      <alignment horizontal="left" vertical="center" wrapText="1"/>
      <protection locked="0"/>
    </xf>
    <xf numFmtId="0" fontId="113" fillId="6" borderId="57" xfId="57" applyFont="1" applyFill="1" applyBorder="1" applyAlignment="1" applyProtection="1">
      <alignment horizontal="left" vertical="center" wrapText="1"/>
      <protection locked="0"/>
    </xf>
    <xf numFmtId="2" fontId="113" fillId="6" borderId="0" xfId="57" applyNumberFormat="1" applyFont="1" applyFill="1" applyAlignment="1" applyProtection="1">
      <alignment horizontal="left" vertical="center"/>
      <protection locked="0"/>
    </xf>
    <xf numFmtId="0" fontId="1" fillId="0" borderId="134" xfId="57" applyBorder="1" applyAlignment="1" applyProtection="1">
      <alignment horizontal="center"/>
      <protection hidden="1"/>
    </xf>
    <xf numFmtId="0" fontId="1" fillId="0" borderId="138" xfId="57" applyBorder="1" applyAlignment="1" applyProtection="1">
      <alignment horizontal="center"/>
      <protection hidden="1"/>
    </xf>
    <xf numFmtId="0" fontId="1" fillId="0" borderId="135" xfId="57" applyBorder="1" applyAlignment="1" applyProtection="1">
      <alignment horizontal="center"/>
      <protection hidden="1"/>
    </xf>
    <xf numFmtId="1" fontId="113" fillId="6" borderId="3" xfId="57" applyNumberFormat="1" applyFont="1" applyFill="1" applyBorder="1" applyAlignment="1" applyProtection="1">
      <alignment horizontal="left" vertical="center"/>
      <protection locked="0"/>
    </xf>
    <xf numFmtId="0" fontId="113" fillId="6" borderId="3" xfId="57" applyFont="1" applyFill="1" applyBorder="1" applyAlignment="1" applyProtection="1">
      <alignment horizontal="left" vertical="center"/>
      <protection locked="0"/>
    </xf>
    <xf numFmtId="0" fontId="1" fillId="0" borderId="134" xfId="57" applyBorder="1" applyAlignment="1" applyProtection="1">
      <alignment horizontal="left"/>
      <protection locked="0"/>
    </xf>
    <xf numFmtId="0" fontId="1" fillId="0" borderId="138" xfId="57" applyBorder="1" applyAlignment="1" applyProtection="1">
      <alignment horizontal="left"/>
      <protection locked="0"/>
    </xf>
    <xf numFmtId="0" fontId="1" fillId="0" borderId="135" xfId="57" applyBorder="1" applyAlignment="1" applyProtection="1">
      <alignment horizontal="left"/>
      <protection locked="0"/>
    </xf>
    <xf numFmtId="0" fontId="112" fillId="0" borderId="134" xfId="57" applyFont="1" applyBorder="1" applyAlignment="1" applyProtection="1">
      <alignment horizontal="center" vertical="center"/>
      <protection locked="0"/>
    </xf>
    <xf numFmtId="0" fontId="112" fillId="0" borderId="138" xfId="57" applyFont="1" applyBorder="1" applyAlignment="1" applyProtection="1">
      <alignment horizontal="center" vertical="center"/>
      <protection locked="0"/>
    </xf>
    <xf numFmtId="0" fontId="112" fillId="0" borderId="135" xfId="57" applyFont="1" applyBorder="1" applyAlignment="1" applyProtection="1">
      <alignment horizontal="center" vertical="center"/>
      <protection locked="0"/>
    </xf>
    <xf numFmtId="0" fontId="112" fillId="44" borderId="134" xfId="57" applyFont="1" applyFill="1" applyBorder="1" applyAlignment="1" applyProtection="1">
      <alignment horizontal="left" vertical="center" wrapText="1"/>
      <protection hidden="1"/>
    </xf>
    <xf numFmtId="0" fontId="112" fillId="44" borderId="138" xfId="57" applyFont="1" applyFill="1" applyBorder="1" applyAlignment="1" applyProtection="1">
      <alignment horizontal="left" vertical="center" wrapText="1"/>
      <protection hidden="1"/>
    </xf>
    <xf numFmtId="0" fontId="112" fillId="44" borderId="135" xfId="57" applyFont="1" applyFill="1" applyBorder="1" applyAlignment="1" applyProtection="1">
      <alignment horizontal="left" vertical="center" wrapText="1"/>
      <protection hidden="1"/>
    </xf>
    <xf numFmtId="0" fontId="112" fillId="0" borderId="134" xfId="57" applyFont="1" applyBorder="1" applyAlignment="1" applyProtection="1">
      <alignment horizontal="center" vertical="center"/>
      <protection hidden="1"/>
    </xf>
    <xf numFmtId="0" fontId="112" fillId="0" borderId="138" xfId="57" applyFont="1" applyBorder="1" applyAlignment="1" applyProtection="1">
      <alignment horizontal="center" vertical="center"/>
      <protection hidden="1"/>
    </xf>
    <xf numFmtId="0" fontId="112" fillId="0" borderId="135" xfId="57" applyFont="1" applyBorder="1" applyAlignment="1" applyProtection="1">
      <alignment horizontal="center" vertical="center"/>
      <protection hidden="1"/>
    </xf>
    <xf numFmtId="170" fontId="10" fillId="0" borderId="22" xfId="3" applyNumberFormat="1" applyFont="1" applyFill="1" applyBorder="1" applyAlignment="1">
      <alignment horizontal="right" vertical="center" wrapText="1"/>
    </xf>
    <xf numFmtId="170" fontId="10" fillId="0" borderId="4" xfId="3" applyNumberFormat="1" applyFont="1" applyFill="1" applyBorder="1" applyAlignment="1">
      <alignment horizontal="right" vertical="center" wrapText="1"/>
    </xf>
    <xf numFmtId="170" fontId="10" fillId="0" borderId="14" xfId="3" applyNumberFormat="1" applyFont="1" applyFill="1" applyBorder="1" applyAlignment="1">
      <alignment horizontal="right" vertical="center" wrapText="1"/>
    </xf>
    <xf numFmtId="0" fontId="17" fillId="2" borderId="34" xfId="3" applyFont="1" applyFill="1" applyBorder="1" applyAlignment="1">
      <alignment horizontal="right" vertical="center" wrapText="1"/>
    </xf>
    <xf numFmtId="0" fontId="21" fillId="0" borderId="0" xfId="0" applyFont="1" applyBorder="1" applyAlignment="1">
      <alignment horizontal="center" vertical="center"/>
    </xf>
    <xf numFmtId="0" fontId="21" fillId="0" borderId="11" xfId="0" applyFont="1" applyBorder="1" applyAlignment="1">
      <alignment horizontal="center" vertical="center"/>
    </xf>
    <xf numFmtId="0" fontId="21" fillId="0" borderId="0" xfId="0" applyFont="1" applyBorder="1" applyAlignment="1">
      <alignment horizontal="center"/>
    </xf>
    <xf numFmtId="0" fontId="21" fillId="0" borderId="11" xfId="0" applyFont="1" applyBorder="1" applyAlignment="1">
      <alignment horizontal="center"/>
    </xf>
    <xf numFmtId="170" fontId="10" fillId="0" borderId="21" xfId="3" applyNumberFormat="1" applyFont="1" applyFill="1" applyBorder="1" applyAlignment="1">
      <alignment horizontal="right" vertical="center" wrapText="1"/>
    </xf>
    <xf numFmtId="170" fontId="10" fillId="0" borderId="12" xfId="3" applyNumberFormat="1" applyFont="1" applyFill="1" applyBorder="1" applyAlignment="1">
      <alignment horizontal="right" vertical="center" wrapText="1"/>
    </xf>
    <xf numFmtId="170" fontId="10" fillId="0" borderId="17" xfId="3" applyNumberFormat="1" applyFont="1" applyFill="1" applyBorder="1" applyAlignment="1">
      <alignment horizontal="right" vertical="center" wrapText="1"/>
    </xf>
    <xf numFmtId="170" fontId="10" fillId="0" borderId="23" xfId="3" applyNumberFormat="1" applyFont="1" applyFill="1" applyBorder="1" applyAlignment="1">
      <alignment horizontal="right" vertical="center" wrapText="1"/>
    </xf>
    <xf numFmtId="170" fontId="10" fillId="0" borderId="9" xfId="3" applyNumberFormat="1" applyFont="1" applyFill="1" applyBorder="1" applyAlignment="1">
      <alignment horizontal="right" vertical="center" wrapText="1"/>
    </xf>
    <xf numFmtId="170" fontId="10" fillId="0" borderId="30" xfId="3" applyNumberFormat="1" applyFont="1" applyFill="1" applyBorder="1" applyAlignment="1">
      <alignment horizontal="right" vertical="center" wrapText="1"/>
    </xf>
    <xf numFmtId="0" fontId="17" fillId="2" borderId="117" xfId="3" applyFont="1" applyFill="1" applyBorder="1" applyAlignment="1">
      <alignment horizontal="right" vertical="center" wrapText="1"/>
    </xf>
    <xf numFmtId="0" fontId="17" fillId="2" borderId="113" xfId="3" applyFont="1" applyFill="1" applyBorder="1" applyAlignment="1">
      <alignment horizontal="right" vertical="center" wrapText="1"/>
    </xf>
    <xf numFmtId="0" fontId="9" fillId="0" borderId="134" xfId="0" applyFont="1" applyBorder="1" applyAlignment="1">
      <alignment horizontal="center" vertical="center"/>
    </xf>
    <xf numFmtId="0" fontId="9" fillId="0" borderId="135" xfId="0" applyFont="1" applyBorder="1" applyAlignment="1">
      <alignment horizontal="center" vertical="center"/>
    </xf>
    <xf numFmtId="0" fontId="23" fillId="0" borderId="136" xfId="0" applyFont="1" applyBorder="1" applyAlignment="1">
      <alignment horizontal="center"/>
    </xf>
    <xf numFmtId="0" fontId="23" fillId="0" borderId="132" xfId="0" applyFont="1" applyBorder="1" applyAlignment="1">
      <alignment horizontal="center"/>
    </xf>
    <xf numFmtId="0" fontId="17" fillId="2" borderId="37" xfId="3" applyFont="1" applyFill="1" applyBorder="1" applyAlignment="1">
      <alignment horizontal="right" vertical="center" wrapText="1"/>
    </xf>
    <xf numFmtId="0" fontId="17" fillId="2" borderId="53" xfId="3" applyFont="1" applyFill="1" applyBorder="1" applyAlignment="1">
      <alignment horizontal="right" vertical="center" wrapText="1"/>
    </xf>
    <xf numFmtId="0" fontId="23" fillId="0" borderId="117" xfId="0" applyFont="1" applyBorder="1" applyAlignment="1">
      <alignment horizontal="center"/>
    </xf>
    <xf numFmtId="170" fontId="10" fillId="0" borderId="125" xfId="3" applyNumberFormat="1" applyFont="1" applyFill="1" applyBorder="1" applyAlignment="1">
      <alignment horizontal="right" vertical="center" wrapText="1"/>
    </xf>
    <xf numFmtId="170" fontId="10" fillId="0" borderId="102" xfId="3" applyNumberFormat="1" applyFont="1" applyFill="1" applyBorder="1" applyAlignment="1">
      <alignment horizontal="right" vertical="center" wrapText="1"/>
    </xf>
    <xf numFmtId="170" fontId="10" fillId="0" borderId="103" xfId="3" applyNumberFormat="1" applyFont="1" applyFill="1" applyBorder="1" applyAlignment="1">
      <alignment horizontal="right" vertical="center" wrapText="1"/>
    </xf>
    <xf numFmtId="0" fontId="22" fillId="2" borderId="25" xfId="3" applyFont="1" applyFill="1" applyBorder="1" applyAlignment="1">
      <alignment horizontal="center" vertical="center" wrapText="1"/>
    </xf>
    <xf numFmtId="0" fontId="22" fillId="2" borderId="31" xfId="3" applyFont="1" applyFill="1" applyBorder="1" applyAlignment="1">
      <alignment horizontal="center" vertical="center" wrapText="1"/>
    </xf>
    <xf numFmtId="0" fontId="22" fillId="2" borderId="80" xfId="3" applyFont="1" applyFill="1" applyBorder="1" applyAlignment="1">
      <alignment horizontal="center" vertical="center" wrapText="1"/>
    </xf>
    <xf numFmtId="0" fontId="24" fillId="0" borderId="133" xfId="0" applyFont="1" applyBorder="1" applyAlignment="1">
      <alignment horizontal="center" vertical="center"/>
    </xf>
    <xf numFmtId="0" fontId="24" fillId="0" borderId="4" xfId="0" applyFont="1" applyBorder="1" applyAlignment="1">
      <alignment horizontal="center" vertical="center"/>
    </xf>
    <xf numFmtId="0" fontId="9" fillId="0" borderId="133" xfId="0" applyFont="1" applyBorder="1" applyAlignment="1">
      <alignment horizontal="center" vertical="center"/>
    </xf>
    <xf numFmtId="0" fontId="23" fillId="0" borderId="37" xfId="0" applyFont="1" applyBorder="1" applyAlignment="1">
      <alignment horizontal="center"/>
    </xf>
    <xf numFmtId="0" fontId="23" fillId="0" borderId="39" xfId="0" applyFont="1" applyBorder="1" applyAlignment="1">
      <alignment horizontal="center"/>
    </xf>
    <xf numFmtId="170" fontId="10" fillId="0" borderId="69" xfId="3" applyNumberFormat="1" applyFont="1" applyFill="1" applyBorder="1" applyAlignment="1">
      <alignment horizontal="right" vertical="center" wrapText="1"/>
    </xf>
    <xf numFmtId="170" fontId="10" fillId="0" borderId="53" xfId="3" applyNumberFormat="1" applyFont="1" applyFill="1" applyBorder="1" applyAlignment="1">
      <alignment horizontal="right" vertical="center" wrapText="1"/>
    </xf>
    <xf numFmtId="170" fontId="10" fillId="0" borderId="54" xfId="3" applyNumberFormat="1" applyFont="1" applyFill="1" applyBorder="1" applyAlignment="1">
      <alignment horizontal="right" vertical="center" wrapText="1"/>
    </xf>
    <xf numFmtId="0" fontId="22" fillId="2" borderId="58" xfId="3" applyFont="1" applyFill="1" applyBorder="1" applyAlignment="1">
      <alignment horizontal="center" vertical="center" wrapText="1"/>
    </xf>
    <xf numFmtId="0" fontId="22" fillId="2" borderId="0" xfId="3" applyFont="1" applyFill="1" applyBorder="1" applyAlignment="1">
      <alignment horizontal="center" vertical="center" wrapText="1"/>
    </xf>
    <xf numFmtId="0" fontId="22" fillId="2" borderId="57" xfId="3" applyFont="1" applyFill="1" applyBorder="1" applyAlignment="1">
      <alignment horizontal="center" vertical="center" wrapText="1"/>
    </xf>
    <xf numFmtId="0" fontId="9" fillId="0" borderId="40" xfId="0" applyFont="1" applyFill="1" applyBorder="1" applyAlignment="1">
      <alignment horizontal="center" vertical="center" wrapText="1"/>
    </xf>
    <xf numFmtId="170" fontId="9" fillId="0" borderId="23" xfId="3" applyNumberFormat="1" applyFont="1" applyFill="1" applyBorder="1" applyAlignment="1">
      <alignment horizontal="right" vertical="center" wrapText="1"/>
    </xf>
    <xf numFmtId="170" fontId="9" fillId="0" borderId="9" xfId="3" applyNumberFormat="1" applyFont="1" applyFill="1" applyBorder="1" applyAlignment="1">
      <alignment horizontal="right" vertical="center" wrapText="1"/>
    </xf>
    <xf numFmtId="170" fontId="9" fillId="0" borderId="30" xfId="3" applyNumberFormat="1" applyFont="1" applyFill="1" applyBorder="1" applyAlignment="1">
      <alignment horizontal="right" vertical="center" wrapText="1"/>
    </xf>
    <xf numFmtId="0" fontId="17" fillId="2" borderId="131" xfId="3" applyFont="1" applyFill="1" applyBorder="1" applyAlignment="1">
      <alignment horizontal="right" vertical="center" wrapText="1"/>
    </xf>
    <xf numFmtId="0" fontId="22" fillId="2" borderId="117" xfId="3" applyFont="1" applyFill="1" applyBorder="1" applyAlignment="1">
      <alignment horizontal="center" vertical="center" wrapText="1"/>
    </xf>
    <xf numFmtId="0" fontId="22" fillId="2" borderId="113" xfId="3" applyFont="1" applyFill="1" applyBorder="1" applyAlignment="1">
      <alignment horizontal="center" vertical="center" wrapText="1"/>
    </xf>
    <xf numFmtId="0" fontId="22" fillId="2" borderId="132" xfId="3" applyFont="1" applyFill="1" applyBorder="1" applyAlignment="1">
      <alignment horizontal="center" vertical="center" wrapText="1"/>
    </xf>
    <xf numFmtId="0" fontId="24" fillId="0" borderId="20" xfId="0" applyFont="1" applyBorder="1" applyAlignment="1">
      <alignment horizontal="center" vertical="center"/>
    </xf>
    <xf numFmtId="0" fontId="10" fillId="0" borderId="34" xfId="3" applyFont="1" applyFill="1" applyBorder="1" applyAlignment="1">
      <alignment horizontal="center" vertical="center" wrapText="1"/>
    </xf>
    <xf numFmtId="0" fontId="17" fillId="0" borderId="34" xfId="3" applyFont="1" applyFill="1" applyBorder="1" applyAlignment="1">
      <alignment horizontal="center" vertical="center" wrapText="1"/>
    </xf>
    <xf numFmtId="170" fontId="10" fillId="0" borderId="19" xfId="3" applyNumberFormat="1" applyFont="1" applyFill="1" applyBorder="1" applyAlignment="1">
      <alignment horizontal="right" vertical="center" wrapText="1"/>
    </xf>
    <xf numFmtId="170" fontId="10" fillId="0" borderId="20" xfId="3" applyNumberFormat="1" applyFont="1" applyFill="1" applyBorder="1" applyAlignment="1">
      <alignment horizontal="right" vertical="center" wrapText="1"/>
    </xf>
    <xf numFmtId="170" fontId="10" fillId="0" borderId="38" xfId="3" applyNumberFormat="1" applyFont="1" applyFill="1" applyBorder="1" applyAlignment="1">
      <alignment horizontal="right" vertical="center" wrapText="1"/>
    </xf>
    <xf numFmtId="170" fontId="9" fillId="0" borderId="22" xfId="3" applyNumberFormat="1" applyFont="1" applyFill="1" applyBorder="1" applyAlignment="1">
      <alignment horizontal="right" vertical="center" wrapText="1"/>
    </xf>
    <xf numFmtId="170" fontId="9" fillId="0" borderId="4" xfId="3" applyNumberFormat="1" applyFont="1" applyFill="1" applyBorder="1" applyAlignment="1">
      <alignment horizontal="right" vertical="center" wrapText="1"/>
    </xf>
    <xf numFmtId="170" fontId="9" fillId="0" borderId="14" xfId="3" applyNumberFormat="1" applyFont="1" applyFill="1" applyBorder="1" applyAlignment="1">
      <alignment horizontal="right" vertical="center" wrapText="1"/>
    </xf>
    <xf numFmtId="0" fontId="22" fillId="2" borderId="37" xfId="3" applyFont="1" applyFill="1" applyBorder="1" applyAlignment="1">
      <alignment horizontal="right" vertical="center" wrapText="1"/>
    </xf>
    <xf numFmtId="0" fontId="22" fillId="2" borderId="53" xfId="3" applyFont="1" applyFill="1" applyBorder="1" applyAlignment="1">
      <alignment horizontal="right" vertical="center" wrapText="1"/>
    </xf>
    <xf numFmtId="0" fontId="23" fillId="0" borderId="137" xfId="0" applyFont="1" applyBorder="1" applyAlignment="1">
      <alignment horizontal="center"/>
    </xf>
    <xf numFmtId="0" fontId="21" fillId="0" borderId="50" xfId="0" applyFont="1" applyBorder="1" applyAlignment="1">
      <alignment horizontal="center" vertical="center"/>
    </xf>
    <xf numFmtId="0" fontId="21" fillId="0" borderId="40" xfId="0" applyFont="1" applyBorder="1" applyAlignment="1">
      <alignment horizontal="center" vertical="center"/>
    </xf>
    <xf numFmtId="0" fontId="21" fillId="0" borderId="51" xfId="0" applyFont="1" applyBorder="1" applyAlignment="1">
      <alignment horizontal="center" vertical="center"/>
    </xf>
    <xf numFmtId="0" fontId="17" fillId="2" borderId="132" xfId="3" applyFont="1" applyFill="1" applyBorder="1" applyAlignment="1">
      <alignment horizontal="right" vertical="center" wrapText="1"/>
    </xf>
    <xf numFmtId="0" fontId="22" fillId="2" borderId="35" xfId="3" applyFont="1" applyFill="1" applyBorder="1" applyAlignment="1">
      <alignment horizontal="center" vertical="center" wrapText="1"/>
    </xf>
    <xf numFmtId="0" fontId="22" fillId="2" borderId="40" xfId="3" applyFont="1" applyFill="1" applyBorder="1" applyAlignment="1">
      <alignment horizontal="center" vertical="center" wrapText="1"/>
    </xf>
    <xf numFmtId="0" fontId="22" fillId="2" borderId="52" xfId="3" applyFont="1" applyFill="1" applyBorder="1" applyAlignment="1">
      <alignment horizontal="center" vertical="center" wrapText="1"/>
    </xf>
    <xf numFmtId="0" fontId="9" fillId="0" borderId="40" xfId="0" applyFont="1" applyBorder="1" applyAlignment="1">
      <alignment horizontal="left" vertical="center" wrapText="1"/>
    </xf>
    <xf numFmtId="0" fontId="22" fillId="2" borderId="131" xfId="3" applyFont="1" applyFill="1" applyBorder="1" applyAlignment="1">
      <alignment horizontal="right" vertical="center" wrapText="1"/>
    </xf>
    <xf numFmtId="170" fontId="10" fillId="0" borderId="104" xfId="3" applyNumberFormat="1" applyFont="1" applyFill="1" applyBorder="1" applyAlignment="1">
      <alignment horizontal="right" vertical="center" wrapText="1"/>
    </xf>
    <xf numFmtId="170" fontId="10" fillId="0" borderId="133" xfId="3" applyNumberFormat="1" applyFont="1" applyFill="1" applyBorder="1" applyAlignment="1">
      <alignment horizontal="right" vertical="center" wrapText="1"/>
    </xf>
    <xf numFmtId="170" fontId="10" fillId="0" borderId="124" xfId="3" applyNumberFormat="1" applyFont="1" applyFill="1" applyBorder="1" applyAlignment="1">
      <alignment horizontal="right" vertical="center" wrapText="1"/>
    </xf>
    <xf numFmtId="0" fontId="22" fillId="2" borderId="55" xfId="3" applyFont="1" applyFill="1" applyBorder="1" applyAlignment="1">
      <alignment horizontal="right" vertical="center" wrapText="1"/>
    </xf>
    <xf numFmtId="0" fontId="0" fillId="0" borderId="120" xfId="0" applyBorder="1" applyAlignment="1">
      <alignment horizontal="center" vertical="center" wrapText="1"/>
    </xf>
    <xf numFmtId="0" fontId="26" fillId="0" borderId="50" xfId="0" applyFont="1" applyBorder="1" applyAlignment="1">
      <alignment horizontal="center" vertical="center"/>
    </xf>
    <xf numFmtId="0" fontId="26" fillId="0" borderId="40" xfId="0" applyFont="1" applyBorder="1" applyAlignment="1">
      <alignment horizontal="center" vertical="center"/>
    </xf>
    <xf numFmtId="0" fontId="26" fillId="0" borderId="51" xfId="0" applyFont="1" applyBorder="1" applyAlignment="1">
      <alignment horizontal="center" vertical="center"/>
    </xf>
    <xf numFmtId="0" fontId="22" fillId="2" borderId="34" xfId="3" applyFont="1" applyFill="1" applyBorder="1" applyAlignment="1">
      <alignment horizontal="right" vertical="center" wrapText="1"/>
    </xf>
    <xf numFmtId="0" fontId="22" fillId="2" borderId="56" xfId="3" applyFont="1" applyFill="1" applyBorder="1" applyAlignment="1">
      <alignment horizontal="right" vertical="center" wrapText="1"/>
    </xf>
    <xf numFmtId="170" fontId="9" fillId="0" borderId="19" xfId="3" applyNumberFormat="1" applyFont="1" applyFill="1" applyBorder="1" applyAlignment="1">
      <alignment horizontal="right" vertical="center" wrapText="1"/>
    </xf>
    <xf numFmtId="170" fontId="9" fillId="0" borderId="20" xfId="3" applyNumberFormat="1" applyFont="1" applyFill="1" applyBorder="1" applyAlignment="1">
      <alignment horizontal="right" vertical="center" wrapText="1"/>
    </xf>
    <xf numFmtId="170" fontId="9" fillId="0" borderId="38" xfId="3" applyNumberFormat="1" applyFont="1" applyFill="1" applyBorder="1" applyAlignment="1">
      <alignment horizontal="right" vertical="center" wrapText="1"/>
    </xf>
    <xf numFmtId="0" fontId="24" fillId="0" borderId="134" xfId="0" applyFont="1" applyBorder="1" applyAlignment="1">
      <alignment horizontal="center" vertical="center"/>
    </xf>
    <xf numFmtId="0" fontId="24" fillId="0" borderId="135" xfId="0" applyFont="1" applyBorder="1" applyAlignment="1">
      <alignment horizontal="center" vertical="center"/>
    </xf>
    <xf numFmtId="0" fontId="23" fillId="0" borderId="121" xfId="0" applyFont="1" applyBorder="1" applyAlignment="1">
      <alignment horizontal="center"/>
    </xf>
    <xf numFmtId="0" fontId="23" fillId="0" borderId="112" xfId="0" applyFont="1" applyBorder="1" applyAlignment="1">
      <alignment horizontal="center"/>
    </xf>
    <xf numFmtId="0" fontId="9" fillId="0" borderId="47" xfId="0" applyFont="1" applyBorder="1" applyAlignment="1">
      <alignment horizontal="right" vertical="center" wrapText="1"/>
    </xf>
    <xf numFmtId="0" fontId="9" fillId="0" borderId="48" xfId="0" applyFont="1" applyBorder="1" applyAlignment="1">
      <alignment horizontal="right" vertical="center" wrapText="1"/>
    </xf>
    <xf numFmtId="0" fontId="9" fillId="0" borderId="49" xfId="0" applyFont="1" applyBorder="1" applyAlignment="1">
      <alignment horizontal="right" vertical="center" wrapText="1"/>
    </xf>
    <xf numFmtId="0" fontId="17" fillId="2" borderId="35" xfId="0" applyFont="1" applyFill="1" applyBorder="1" applyAlignment="1">
      <alignment horizontal="right" vertical="center" wrapText="1"/>
    </xf>
    <xf numFmtId="0" fontId="17" fillId="2" borderId="40" xfId="0" applyFont="1" applyFill="1" applyBorder="1" applyAlignment="1">
      <alignment horizontal="right" vertical="center" wrapText="1"/>
    </xf>
    <xf numFmtId="0" fontId="17" fillId="2" borderId="52" xfId="0" applyFont="1" applyFill="1" applyBorder="1" applyAlignment="1">
      <alignment horizontal="right" vertical="center" wrapText="1"/>
    </xf>
    <xf numFmtId="0" fontId="22" fillId="2" borderId="78" xfId="3" applyFont="1" applyFill="1" applyBorder="1" applyAlignment="1">
      <alignment horizontal="center" vertical="center" wrapText="1"/>
    </xf>
    <xf numFmtId="0" fontId="22" fillId="2" borderId="48" xfId="3" applyFont="1" applyFill="1" applyBorder="1" applyAlignment="1">
      <alignment horizontal="center" vertical="center" wrapText="1"/>
    </xf>
    <xf numFmtId="0" fontId="22" fillId="2" borderId="79" xfId="3" applyFont="1" applyFill="1" applyBorder="1" applyAlignment="1">
      <alignment horizontal="center" vertical="center" wrapText="1"/>
    </xf>
    <xf numFmtId="0" fontId="10" fillId="0" borderId="47" xfId="0" applyFont="1" applyBorder="1" applyAlignment="1">
      <alignment horizontal="right" vertical="center" wrapText="1"/>
    </xf>
    <xf numFmtId="0" fontId="10" fillId="0" borderId="48" xfId="0" applyFont="1" applyBorder="1" applyAlignment="1">
      <alignment horizontal="right" vertical="center" wrapText="1"/>
    </xf>
    <xf numFmtId="0" fontId="10" fillId="0" borderId="49" xfId="0" applyFont="1" applyBorder="1" applyAlignment="1">
      <alignment horizontal="right" vertical="center" wrapText="1"/>
    </xf>
    <xf numFmtId="0" fontId="10" fillId="0" borderId="47" xfId="0" applyFont="1" applyFill="1" applyBorder="1" applyAlignment="1">
      <alignment horizontal="right" vertical="center" wrapText="1"/>
    </xf>
    <xf numFmtId="0" fontId="10" fillId="0" borderId="48" xfId="0" applyFont="1" applyFill="1" applyBorder="1" applyAlignment="1">
      <alignment horizontal="right" vertical="center" wrapText="1"/>
    </xf>
    <xf numFmtId="0" fontId="10" fillId="0" borderId="49" xfId="0" applyFont="1" applyFill="1" applyBorder="1" applyAlignment="1">
      <alignment horizontal="right" vertical="center" wrapText="1"/>
    </xf>
    <xf numFmtId="0" fontId="22" fillId="5" borderId="34" xfId="0" applyFont="1" applyFill="1" applyBorder="1" applyAlignment="1">
      <alignment horizontal="right" vertical="center" wrapText="1"/>
    </xf>
    <xf numFmtId="0" fontId="17" fillId="2" borderId="34" xfId="0" applyFont="1" applyFill="1" applyBorder="1" applyAlignment="1">
      <alignment horizontal="right" vertical="center" wrapText="1"/>
    </xf>
    <xf numFmtId="0" fontId="10" fillId="0" borderId="21" xfId="0" applyFont="1" applyBorder="1" applyAlignment="1">
      <alignment horizontal="right" vertical="center" wrapText="1"/>
    </xf>
    <xf numFmtId="0" fontId="10" fillId="0" borderId="120" xfId="0" applyFont="1" applyBorder="1" applyAlignment="1">
      <alignment horizontal="right" vertical="center" wrapText="1"/>
    </xf>
    <xf numFmtId="0" fontId="10" fillId="0" borderId="17" xfId="0" applyFont="1" applyBorder="1" applyAlignment="1">
      <alignment horizontal="right" vertical="center" wrapText="1"/>
    </xf>
    <xf numFmtId="0" fontId="17" fillId="2" borderId="131" xfId="0" applyFont="1" applyFill="1" applyBorder="1" applyAlignment="1">
      <alignment horizontal="right" vertical="center" wrapText="1"/>
    </xf>
    <xf numFmtId="0" fontId="10" fillId="0" borderId="104" xfId="0" applyFont="1" applyBorder="1" applyAlignment="1">
      <alignment horizontal="right" vertical="center" wrapText="1"/>
    </xf>
    <xf numFmtId="0" fontId="10" fillId="0" borderId="133" xfId="0" applyFont="1" applyBorder="1" applyAlignment="1">
      <alignment horizontal="right" vertical="center" wrapText="1"/>
    </xf>
    <xf numFmtId="0" fontId="10" fillId="0" borderId="14" xfId="0" applyFont="1" applyBorder="1" applyAlignment="1">
      <alignment horizontal="right" vertical="center" wrapText="1"/>
    </xf>
    <xf numFmtId="0" fontId="9" fillId="0" borderId="121" xfId="0" applyFont="1" applyBorder="1" applyAlignment="1">
      <alignment horizontal="center" vertical="center"/>
    </xf>
    <xf numFmtId="0" fontId="9" fillId="0" borderId="112"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26" fillId="0" borderId="45" xfId="0" applyFont="1" applyBorder="1" applyAlignment="1">
      <alignment horizontal="center" vertical="center"/>
    </xf>
    <xf numFmtId="0" fontId="26" fillId="0" borderId="113" xfId="0" applyFont="1" applyBorder="1" applyAlignment="1">
      <alignment horizontal="center" vertical="center"/>
    </xf>
    <xf numFmtId="0" fontId="26" fillId="0" borderId="44" xfId="0" applyFont="1" applyBorder="1" applyAlignment="1">
      <alignment horizontal="center" vertical="center"/>
    </xf>
    <xf numFmtId="0" fontId="17" fillId="5" borderId="78" xfId="3" applyFont="1" applyFill="1" applyBorder="1" applyAlignment="1">
      <alignment horizontal="center" vertical="center"/>
    </xf>
    <xf numFmtId="0" fontId="17" fillId="5" borderId="79" xfId="3" applyFont="1" applyFill="1" applyBorder="1" applyAlignment="1">
      <alignment horizontal="center" vertical="center"/>
    </xf>
    <xf numFmtId="0" fontId="26" fillId="0" borderId="24" xfId="0" applyFont="1" applyBorder="1" applyAlignment="1">
      <alignment horizontal="center" vertical="center"/>
    </xf>
    <xf numFmtId="0" fontId="26" fillId="0" borderId="31" xfId="0" applyFont="1" applyBorder="1" applyAlignment="1">
      <alignment horizontal="center" vertical="center"/>
    </xf>
    <xf numFmtId="0" fontId="26" fillId="0" borderId="26" xfId="0" applyFont="1" applyBorder="1" applyAlignment="1">
      <alignment horizontal="center" vertical="center"/>
    </xf>
    <xf numFmtId="170" fontId="9" fillId="0" borderId="104" xfId="3" applyNumberFormat="1" applyFont="1" applyFill="1" applyBorder="1" applyAlignment="1">
      <alignment horizontal="right" vertical="center" wrapText="1"/>
    </xf>
    <xf numFmtId="170" fontId="9" fillId="0" borderId="133" xfId="3" applyNumberFormat="1" applyFont="1" applyFill="1" applyBorder="1" applyAlignment="1">
      <alignment horizontal="right" vertical="center" wrapText="1"/>
    </xf>
    <xf numFmtId="0" fontId="17" fillId="0" borderId="131" xfId="3" applyFont="1" applyFill="1" applyBorder="1" applyAlignment="1">
      <alignment horizontal="right" vertical="center" wrapText="1"/>
    </xf>
    <xf numFmtId="0" fontId="22" fillId="0" borderId="0" xfId="3" applyFont="1" applyFill="1" applyBorder="1" applyAlignment="1">
      <alignment horizontal="center" vertical="center" wrapText="1"/>
    </xf>
    <xf numFmtId="0" fontId="9" fillId="0" borderId="118" xfId="0" applyFont="1" applyFill="1" applyBorder="1" applyAlignment="1">
      <alignment horizontal="right" vertical="center" wrapText="1"/>
    </xf>
    <xf numFmtId="0" fontId="9" fillId="0" borderId="138" xfId="0" applyFont="1" applyFill="1" applyBorder="1" applyAlignment="1">
      <alignment horizontal="right" vertical="center" wrapText="1"/>
    </xf>
    <xf numFmtId="0" fontId="9" fillId="0" borderId="139" xfId="0" applyFont="1" applyFill="1" applyBorder="1" applyAlignment="1">
      <alignment horizontal="right" vertical="center" wrapText="1"/>
    </xf>
    <xf numFmtId="0" fontId="10" fillId="0" borderId="50" xfId="3" applyFont="1" applyFill="1" applyBorder="1" applyAlignment="1">
      <alignment horizontal="left" vertical="center" wrapText="1"/>
    </xf>
    <xf numFmtId="0" fontId="10" fillId="0" borderId="40" xfId="3" applyFont="1" applyFill="1" applyBorder="1" applyAlignment="1">
      <alignment horizontal="left" vertical="center" wrapText="1"/>
    </xf>
    <xf numFmtId="0" fontId="10" fillId="0" borderId="51" xfId="3" applyFont="1" applyFill="1" applyBorder="1" applyAlignment="1">
      <alignment horizontal="left" vertical="center" wrapText="1"/>
    </xf>
    <xf numFmtId="0" fontId="22" fillId="2" borderId="120" xfId="0" applyFont="1" applyFill="1" applyBorder="1" applyAlignment="1">
      <alignment horizontal="right" vertical="center" wrapText="1"/>
    </xf>
    <xf numFmtId="167" fontId="18" fillId="0" borderId="134" xfId="0" applyNumberFormat="1" applyFont="1" applyBorder="1" applyAlignment="1">
      <alignment horizontal="left" vertical="center" wrapText="1"/>
    </xf>
    <xf numFmtId="167" fontId="18" fillId="0" borderId="135" xfId="0" applyNumberFormat="1" applyFont="1" applyBorder="1" applyAlignment="1">
      <alignment horizontal="left" vertical="center" wrapText="1"/>
    </xf>
    <xf numFmtId="167" fontId="9" fillId="0" borderId="121" xfId="0" applyNumberFormat="1" applyFont="1" applyBorder="1" applyAlignment="1">
      <alignment horizontal="center" vertical="center"/>
    </xf>
    <xf numFmtId="167" fontId="9" fillId="0" borderId="112" xfId="0" applyNumberFormat="1" applyFont="1" applyBorder="1" applyAlignment="1">
      <alignment horizontal="center" vertical="center"/>
    </xf>
    <xf numFmtId="170" fontId="9" fillId="0" borderId="50" xfId="3" applyNumberFormat="1" applyFont="1" applyFill="1" applyBorder="1" applyAlignment="1">
      <alignment horizontal="justify" vertical="center" wrapText="1"/>
    </xf>
    <xf numFmtId="170" fontId="9" fillId="0" borderId="40" xfId="3" applyNumberFormat="1" applyFont="1" applyFill="1" applyBorder="1" applyAlignment="1">
      <alignment horizontal="justify" vertical="center" wrapText="1"/>
    </xf>
    <xf numFmtId="170" fontId="9" fillId="0" borderId="51" xfId="3" applyNumberFormat="1" applyFont="1" applyFill="1" applyBorder="1" applyAlignment="1">
      <alignment horizontal="justify" vertical="center" wrapText="1"/>
    </xf>
    <xf numFmtId="167" fontId="22" fillId="0" borderId="78" xfId="0" applyNumberFormat="1" applyFont="1" applyBorder="1" applyAlignment="1">
      <alignment horizontal="center" vertical="center"/>
    </xf>
    <xf numFmtId="167" fontId="22" fillId="0" borderId="79" xfId="0" applyNumberFormat="1" applyFont="1" applyBorder="1" applyAlignment="1">
      <alignment horizontal="center" vertical="center"/>
    </xf>
    <xf numFmtId="167" fontId="9" fillId="0" borderId="134" xfId="0" applyNumberFormat="1" applyFont="1" applyBorder="1" applyAlignment="1">
      <alignment horizontal="center" vertical="center"/>
    </xf>
    <xf numFmtId="167" fontId="9" fillId="0" borderId="135" xfId="0" applyNumberFormat="1" applyFont="1" applyBorder="1" applyAlignment="1">
      <alignment horizontal="center" vertical="center"/>
    </xf>
    <xf numFmtId="0" fontId="8" fillId="0" borderId="0" xfId="0" applyFont="1" applyBorder="1" applyAlignment="1">
      <alignment horizontal="left" vertical="center" wrapText="1"/>
    </xf>
    <xf numFmtId="0" fontId="8" fillId="0" borderId="43" xfId="0" applyFont="1" applyBorder="1" applyAlignment="1">
      <alignment horizontal="left" vertical="center" wrapText="1"/>
    </xf>
    <xf numFmtId="0" fontId="26" fillId="6" borderId="3" xfId="0" applyFont="1" applyFill="1" applyBorder="1" applyAlignment="1">
      <alignment horizontal="center" vertical="center"/>
    </xf>
    <xf numFmtId="49" fontId="7" fillId="0" borderId="133" xfId="0" applyNumberFormat="1" applyFont="1" applyBorder="1" applyAlignment="1">
      <alignment horizontal="center" vertical="center"/>
    </xf>
    <xf numFmtId="0" fontId="7" fillId="0" borderId="33"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8" fillId="0" borderId="36" xfId="0" applyFont="1" applyBorder="1" applyAlignment="1">
      <alignment vertical="center"/>
    </xf>
    <xf numFmtId="49" fontId="7" fillId="0" borderId="42" xfId="0" applyNumberFormat="1" applyFont="1" applyFill="1" applyBorder="1" applyAlignment="1">
      <alignment horizontal="center" vertical="center" wrapText="1"/>
    </xf>
    <xf numFmtId="49" fontId="7" fillId="0" borderId="15" xfId="0" applyNumberFormat="1" applyFont="1" applyFill="1" applyBorder="1" applyAlignment="1">
      <alignment horizontal="center" vertical="center" wrapText="1"/>
    </xf>
    <xf numFmtId="0" fontId="8" fillId="0" borderId="16" xfId="0" applyFont="1" applyBorder="1" applyAlignment="1">
      <alignment horizontal="center" vertical="center" wrapText="1"/>
    </xf>
    <xf numFmtId="0" fontId="7" fillId="0" borderId="20" xfId="0" applyFont="1" applyFill="1" applyBorder="1" applyAlignment="1">
      <alignment horizontal="center" vertical="center"/>
    </xf>
    <xf numFmtId="0" fontId="7" fillId="0" borderId="133" xfId="0" applyFont="1" applyFill="1" applyBorder="1" applyAlignment="1">
      <alignment horizontal="center" vertical="center"/>
    </xf>
    <xf numFmtId="0" fontId="8" fillId="0" borderId="120" xfId="0" applyFont="1" applyBorder="1" applyAlignment="1">
      <alignment horizontal="center" vertical="center"/>
    </xf>
    <xf numFmtId="0" fontId="7" fillId="0" borderId="25" xfId="0" applyFont="1" applyBorder="1" applyAlignment="1">
      <alignment horizontal="center" vertical="center"/>
    </xf>
    <xf numFmtId="0" fontId="7" fillId="0" borderId="31" xfId="0" applyFont="1" applyBorder="1" applyAlignment="1">
      <alignment horizontal="center" vertical="center"/>
    </xf>
    <xf numFmtId="0" fontId="8" fillId="0" borderId="26" xfId="0" applyFont="1" applyBorder="1" applyAlignment="1">
      <alignment vertical="center"/>
    </xf>
    <xf numFmtId="0" fontId="35" fillId="0" borderId="50" xfId="0" applyFont="1" applyBorder="1" applyAlignment="1">
      <alignment horizontal="left" vertical="center" wrapText="1"/>
    </xf>
    <xf numFmtId="0" fontId="35" fillId="0" borderId="40" xfId="0" applyFont="1" applyBorder="1" applyAlignment="1">
      <alignment horizontal="left" vertical="center" wrapText="1"/>
    </xf>
    <xf numFmtId="0" fontId="35" fillId="0" borderId="51" xfId="0" applyFont="1" applyBorder="1" applyAlignment="1">
      <alignment horizontal="left" vertical="center" wrapText="1"/>
    </xf>
    <xf numFmtId="0" fontId="58" fillId="0" borderId="33" xfId="0" applyFont="1" applyBorder="1" applyAlignment="1">
      <alignment horizontal="center" vertical="center"/>
    </xf>
    <xf numFmtId="0" fontId="58" fillId="0" borderId="34" xfId="0" applyFont="1" applyBorder="1" applyAlignment="1">
      <alignment horizontal="center" vertical="center"/>
    </xf>
    <xf numFmtId="0" fontId="58" fillId="0" borderId="19" xfId="0" applyFont="1" applyBorder="1" applyAlignment="1">
      <alignment horizontal="left" vertical="center"/>
    </xf>
    <xf numFmtId="0" fontId="58" fillId="0" borderId="20" xfId="0" applyFont="1" applyBorder="1" applyAlignment="1">
      <alignment horizontal="left" vertical="center"/>
    </xf>
    <xf numFmtId="0" fontId="7" fillId="0" borderId="24" xfId="0" applyFont="1" applyBorder="1" applyAlignment="1">
      <alignment horizontal="center" wrapText="1"/>
    </xf>
    <xf numFmtId="0" fontId="7" fillId="0" borderId="31" xfId="0" applyFont="1" applyBorder="1" applyAlignment="1">
      <alignment horizontal="center" wrapText="1"/>
    </xf>
    <xf numFmtId="0" fontId="22" fillId="0" borderId="10" xfId="0" applyFont="1" applyBorder="1" applyAlignment="1">
      <alignment horizontal="center" vertical="center" wrapText="1"/>
    </xf>
    <xf numFmtId="0" fontId="22" fillId="0" borderId="0" xfId="0" applyFont="1" applyBorder="1" applyAlignment="1">
      <alignment horizontal="center" vertical="center" wrapText="1"/>
    </xf>
    <xf numFmtId="0" fontId="24" fillId="0" borderId="10" xfId="0" applyFont="1" applyBorder="1" applyAlignment="1">
      <alignment horizontal="right" vertical="center"/>
    </xf>
    <xf numFmtId="0" fontId="24" fillId="0" borderId="0" xfId="0" applyFont="1" applyBorder="1" applyAlignment="1">
      <alignment horizontal="right" vertical="center"/>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26" xfId="0" applyFont="1" applyBorder="1" applyAlignment="1">
      <alignment horizontal="center" vertical="center" wrapText="1"/>
    </xf>
    <xf numFmtId="0" fontId="22" fillId="0" borderId="115" xfId="0" applyFont="1" applyBorder="1" applyAlignment="1">
      <alignment horizontal="center" vertical="center" wrapText="1"/>
    </xf>
    <xf numFmtId="0" fontId="22" fillId="0" borderId="113" xfId="0" applyFont="1" applyBorder="1" applyAlignment="1">
      <alignment horizontal="center" vertical="center" wrapText="1"/>
    </xf>
    <xf numFmtId="0" fontId="119" fillId="47" borderId="15" xfId="0" applyFont="1" applyFill="1" applyBorder="1" applyAlignment="1">
      <alignment horizontal="center" vertical="center"/>
    </xf>
    <xf numFmtId="0" fontId="119" fillId="47" borderId="55" xfId="0" applyFont="1" applyFill="1" applyBorder="1" applyAlignment="1">
      <alignment horizontal="center" vertical="center"/>
    </xf>
    <xf numFmtId="0" fontId="119" fillId="47" borderId="59" xfId="0" applyFont="1" applyFill="1" applyBorder="1" applyAlignment="1">
      <alignment horizontal="center" vertical="center"/>
    </xf>
    <xf numFmtId="0" fontId="0" fillId="0" borderId="50" xfId="0" applyBorder="1" applyAlignment="1">
      <alignment horizontal="center"/>
    </xf>
    <xf numFmtId="0" fontId="0" fillId="0" borderId="40" xfId="0" applyBorder="1" applyAlignment="1">
      <alignment horizontal="center"/>
    </xf>
    <xf numFmtId="0" fontId="0" fillId="0" borderId="51" xfId="0" applyBorder="1" applyAlignment="1">
      <alignment horizontal="center"/>
    </xf>
    <xf numFmtId="0" fontId="114" fillId="45" borderId="10" xfId="0" applyFont="1" applyFill="1" applyBorder="1" applyAlignment="1">
      <alignment horizontal="center" vertical="center" wrapText="1"/>
    </xf>
    <xf numFmtId="0" fontId="114" fillId="45" borderId="0" xfId="0" applyFont="1" applyFill="1" applyAlignment="1">
      <alignment horizontal="center" vertical="center" wrapText="1"/>
    </xf>
    <xf numFmtId="0" fontId="114" fillId="45" borderId="11" xfId="0" applyFont="1" applyFill="1" applyBorder="1" applyAlignment="1">
      <alignment horizontal="center" vertical="center" wrapText="1"/>
    </xf>
    <xf numFmtId="0" fontId="116" fillId="6" borderId="118" xfId="63" applyFont="1" applyFill="1" applyBorder="1" applyAlignment="1">
      <alignment horizontal="center" vertical="center" wrapText="1"/>
    </xf>
    <xf numFmtId="0" fontId="116" fillId="6" borderId="138" xfId="63" applyFont="1" applyFill="1" applyBorder="1" applyAlignment="1">
      <alignment horizontal="center" vertical="center" wrapText="1"/>
    </xf>
    <xf numFmtId="0" fontId="116" fillId="6" borderId="139" xfId="63" applyFont="1" applyFill="1" applyBorder="1" applyAlignment="1">
      <alignment horizontal="center" vertical="center" wrapText="1"/>
    </xf>
    <xf numFmtId="0" fontId="114" fillId="46" borderId="118" xfId="0" applyFont="1" applyFill="1" applyBorder="1" applyAlignment="1">
      <alignment horizontal="right"/>
    </xf>
    <xf numFmtId="0" fontId="114" fillId="46" borderId="138" xfId="0" applyFont="1" applyFill="1" applyBorder="1" applyAlignment="1">
      <alignment horizontal="right"/>
    </xf>
    <xf numFmtId="0" fontId="117" fillId="0" borderId="125" xfId="0" applyFont="1" applyBorder="1" applyAlignment="1">
      <alignment horizontal="center"/>
    </xf>
    <xf numFmtId="0" fontId="117" fillId="0" borderId="102" xfId="0" applyFont="1" applyBorder="1" applyAlignment="1">
      <alignment horizontal="center"/>
    </xf>
    <xf numFmtId="0" fontId="117" fillId="0" borderId="103" xfId="0" applyFont="1" applyBorder="1" applyAlignment="1">
      <alignment horizontal="center"/>
    </xf>
    <xf numFmtId="0" fontId="118" fillId="6" borderId="42" xfId="0" applyFont="1" applyFill="1" applyBorder="1" applyAlignment="1">
      <alignment horizontal="center" vertical="center" wrapText="1"/>
    </xf>
    <xf numFmtId="0" fontId="118" fillId="6" borderId="15" xfId="0" applyFont="1" applyFill="1" applyBorder="1" applyAlignment="1">
      <alignment horizontal="center" vertical="center" wrapText="1"/>
    </xf>
    <xf numFmtId="0" fontId="118" fillId="6" borderId="18" xfId="0" applyFont="1" applyFill="1" applyBorder="1" applyAlignment="1">
      <alignment horizontal="center" vertical="center" wrapText="1"/>
    </xf>
    <xf numFmtId="0" fontId="118" fillId="6" borderId="55" xfId="0" applyFont="1" applyFill="1" applyBorder="1" applyAlignment="1">
      <alignment horizontal="center" vertical="center" wrapText="1"/>
    </xf>
    <xf numFmtId="0" fontId="119" fillId="46" borderId="18" xfId="0" applyFont="1" applyFill="1" applyBorder="1" applyAlignment="1">
      <alignment horizontal="center" vertical="center" wrapText="1"/>
    </xf>
    <xf numFmtId="0" fontId="119" fillId="46" borderId="46" xfId="0" applyFont="1" applyFill="1" applyBorder="1" applyAlignment="1">
      <alignment horizontal="center" vertical="center" wrapText="1"/>
    </xf>
    <xf numFmtId="167" fontId="18" fillId="0" borderId="4" xfId="0" quotePrefix="1" applyNumberFormat="1" applyFont="1" applyFill="1" applyBorder="1" applyAlignment="1" applyProtection="1">
      <alignment horizontal="center" vertical="center" wrapText="1"/>
    </xf>
    <xf numFmtId="0" fontId="18" fillId="0" borderId="119" xfId="0" applyNumberFormat="1" applyFont="1" applyFill="1" applyBorder="1" applyAlignment="1" applyProtection="1">
      <alignment horizontal="center" vertical="center"/>
    </xf>
    <xf numFmtId="0" fontId="18" fillId="0" borderId="102" xfId="0" applyNumberFormat="1" applyFont="1" applyFill="1" applyBorder="1" applyAlignment="1" applyProtection="1">
      <alignment horizontal="center" vertical="center"/>
    </xf>
    <xf numFmtId="0" fontId="18" fillId="0" borderId="103" xfId="0" applyNumberFormat="1" applyFont="1" applyFill="1" applyBorder="1" applyAlignment="1" applyProtection="1">
      <alignment horizontal="center" vertical="center"/>
    </xf>
    <xf numFmtId="0" fontId="68" fillId="0" borderId="24" xfId="0" applyNumberFormat="1" applyFont="1" applyFill="1" applyBorder="1" applyAlignment="1" applyProtection="1">
      <alignment horizontal="center" vertical="center"/>
    </xf>
    <xf numFmtId="0" fontId="68" fillId="0" borderId="31" xfId="0" applyNumberFormat="1" applyFont="1" applyFill="1" applyBorder="1" applyAlignment="1" applyProtection="1">
      <alignment horizontal="center" vertical="center"/>
    </xf>
    <xf numFmtId="0" fontId="68" fillId="0" borderId="26" xfId="0" applyNumberFormat="1" applyFont="1" applyFill="1" applyBorder="1" applyAlignment="1" applyProtection="1">
      <alignment horizontal="center" vertical="center"/>
    </xf>
    <xf numFmtId="0" fontId="68" fillId="0" borderId="1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68" fillId="0" borderId="11" xfId="0" applyNumberFormat="1" applyFont="1" applyFill="1" applyBorder="1" applyAlignment="1" applyProtection="1">
      <alignment horizontal="center" vertical="center"/>
    </xf>
    <xf numFmtId="2" fontId="68" fillId="0" borderId="0" xfId="0" applyNumberFormat="1" applyFont="1" applyFill="1" applyBorder="1" applyAlignment="1" applyProtection="1">
      <alignment horizontal="left" vertical="center" wrapText="1"/>
    </xf>
    <xf numFmtId="0" fontId="68" fillId="0" borderId="0" xfId="0" applyNumberFormat="1" applyFont="1" applyFill="1" applyBorder="1" applyAlignment="1" applyProtection="1">
      <alignment horizontal="justify" vertical="center" wrapText="1"/>
    </xf>
    <xf numFmtId="0" fontId="68" fillId="0" borderId="50" xfId="0" applyNumberFormat="1" applyFont="1" applyFill="1" applyBorder="1" applyAlignment="1" applyProtection="1">
      <alignment horizontal="center" vertical="center"/>
    </xf>
    <xf numFmtId="0" fontId="68" fillId="0" borderId="40" xfId="0" applyNumberFormat="1" applyFont="1" applyFill="1" applyBorder="1" applyAlignment="1" applyProtection="1">
      <alignment horizontal="center" vertical="center"/>
    </xf>
    <xf numFmtId="0" fontId="68" fillId="0" borderId="51" xfId="0" applyNumberFormat="1" applyFont="1" applyFill="1" applyBorder="1" applyAlignment="1" applyProtection="1">
      <alignment horizontal="center" vertical="center"/>
    </xf>
    <xf numFmtId="167" fontId="18" fillId="0" borderId="107" xfId="0" quotePrefix="1" applyNumberFormat="1" applyFont="1" applyFill="1" applyBorder="1" applyAlignment="1" applyProtection="1">
      <alignment horizontal="center" vertical="center" wrapText="1"/>
    </xf>
    <xf numFmtId="167" fontId="18" fillId="0" borderId="106" xfId="0" quotePrefix="1" applyNumberFormat="1" applyFont="1" applyFill="1" applyBorder="1" applyAlignment="1" applyProtection="1">
      <alignment horizontal="center" vertical="center" wrapText="1"/>
    </xf>
    <xf numFmtId="167" fontId="18" fillId="0" borderId="119" xfId="0" quotePrefix="1" applyNumberFormat="1" applyFont="1" applyFill="1" applyBorder="1" applyAlignment="1" applyProtection="1">
      <alignment horizontal="center" vertical="center" wrapText="1"/>
    </xf>
    <xf numFmtId="167" fontId="18" fillId="0" borderId="102" xfId="0" quotePrefix="1" applyNumberFormat="1" applyFont="1" applyFill="1" applyBorder="1" applyAlignment="1" applyProtection="1">
      <alignment horizontal="center" vertical="center" wrapText="1"/>
    </xf>
    <xf numFmtId="167" fontId="18" fillId="0" borderId="103" xfId="0" quotePrefix="1" applyNumberFormat="1" applyFont="1" applyFill="1" applyBorder="1" applyAlignment="1" applyProtection="1">
      <alignment horizontal="center" vertical="center" wrapText="1"/>
    </xf>
    <xf numFmtId="167" fontId="18" fillId="0" borderId="58" xfId="0" quotePrefix="1" applyNumberFormat="1" applyFont="1" applyFill="1" applyBorder="1" applyAlignment="1" applyProtection="1">
      <alignment horizontal="center" vertical="center" wrapText="1"/>
    </xf>
    <xf numFmtId="167" fontId="18" fillId="0" borderId="0" xfId="0" quotePrefix="1" applyNumberFormat="1" applyFont="1" applyFill="1" applyBorder="1" applyAlignment="1" applyProtection="1">
      <alignment horizontal="center" vertical="center" wrapText="1"/>
    </xf>
    <xf numFmtId="167" fontId="18" fillId="0" borderId="11" xfId="0" quotePrefix="1" applyNumberFormat="1" applyFont="1" applyFill="1" applyBorder="1" applyAlignment="1" applyProtection="1">
      <alignment horizontal="center" vertical="center" wrapText="1"/>
    </xf>
    <xf numFmtId="167" fontId="18" fillId="0" borderId="77" xfId="0" quotePrefix="1" applyNumberFormat="1" applyFont="1" applyFill="1" applyBorder="1" applyAlignment="1" applyProtection="1">
      <alignment horizontal="center" vertical="center" wrapText="1"/>
    </xf>
    <xf numFmtId="167" fontId="18" fillId="0" borderId="3" xfId="0" quotePrefix="1" applyNumberFormat="1" applyFont="1" applyFill="1" applyBorder="1" applyAlignment="1" applyProtection="1">
      <alignment horizontal="center" vertical="center" wrapText="1"/>
    </xf>
    <xf numFmtId="167" fontId="18" fillId="0" borderId="76" xfId="0" quotePrefix="1" applyNumberFormat="1" applyFont="1" applyFill="1" applyBorder="1" applyAlignment="1" applyProtection="1">
      <alignment horizontal="center" vertical="center" wrapText="1"/>
    </xf>
    <xf numFmtId="0" fontId="18" fillId="0" borderId="107" xfId="0" applyNumberFormat="1" applyFont="1" applyFill="1" applyBorder="1" applyAlignment="1" applyProtection="1">
      <alignment horizontal="center" vertical="center"/>
    </xf>
    <xf numFmtId="0" fontId="18" fillId="0" borderId="106" xfId="0" applyNumberFormat="1" applyFont="1" applyFill="1" applyBorder="1" applyAlignment="1" applyProtection="1">
      <alignment horizontal="center" vertical="center"/>
    </xf>
    <xf numFmtId="0" fontId="68" fillId="41" borderId="69" xfId="0" applyNumberFormat="1" applyFont="1" applyFill="1" applyBorder="1" applyAlignment="1" applyProtection="1">
      <alignment horizontal="right" vertical="center"/>
    </xf>
    <xf numFmtId="0" fontId="68" fillId="41" borderId="39" xfId="0" applyNumberFormat="1" applyFont="1" applyFill="1" applyBorder="1" applyAlignment="1" applyProtection="1">
      <alignment horizontal="right" vertical="center"/>
    </xf>
    <xf numFmtId="0" fontId="18" fillId="41" borderId="37" xfId="0" applyNumberFormat="1" applyFont="1" applyFill="1" applyBorder="1" applyAlignment="1" applyProtection="1">
      <alignment horizontal="center" vertical="center" wrapText="1"/>
    </xf>
    <xf numFmtId="0" fontId="18" fillId="41" borderId="53" xfId="0" applyNumberFormat="1" applyFont="1" applyFill="1" applyBorder="1" applyAlignment="1" applyProtection="1">
      <alignment horizontal="center" vertical="center" wrapText="1"/>
    </xf>
    <xf numFmtId="0" fontId="18" fillId="41" borderId="54" xfId="0" applyNumberFormat="1" applyFont="1" applyFill="1" applyBorder="1" applyAlignment="1" applyProtection="1">
      <alignment horizontal="center" vertical="center" wrapText="1"/>
    </xf>
    <xf numFmtId="0" fontId="68" fillId="35" borderId="35" xfId="0" applyNumberFormat="1" applyFont="1" applyFill="1" applyBorder="1" applyAlignment="1" applyProtection="1">
      <alignment horizontal="left" vertical="center"/>
    </xf>
    <xf numFmtId="0" fontId="68" fillId="35" borderId="40" xfId="0" applyNumberFormat="1" applyFont="1" applyFill="1" applyBorder="1" applyAlignment="1" applyProtection="1">
      <alignment horizontal="left" vertical="center"/>
    </xf>
    <xf numFmtId="0" fontId="68" fillId="35" borderId="51" xfId="0" applyNumberFormat="1" applyFont="1" applyFill="1" applyBorder="1" applyAlignment="1" applyProtection="1">
      <alignment horizontal="left" vertical="center"/>
    </xf>
    <xf numFmtId="0" fontId="18" fillId="0" borderId="23" xfId="0" applyNumberFormat="1" applyFont="1" applyFill="1" applyBorder="1" applyAlignment="1" applyProtection="1">
      <alignment horizontal="center" vertical="center" wrapText="1"/>
    </xf>
    <xf numFmtId="0" fontId="18" fillId="0" borderId="9" xfId="0" applyNumberFormat="1" applyFont="1" applyFill="1" applyBorder="1" applyAlignment="1" applyProtection="1">
      <alignment horizontal="center" vertical="center" wrapText="1"/>
    </xf>
    <xf numFmtId="0" fontId="18" fillId="0" borderId="30" xfId="0" applyNumberFormat="1" applyFont="1" applyFill="1" applyBorder="1" applyAlignment="1" applyProtection="1">
      <alignment horizontal="center" vertical="center" wrapText="1"/>
    </xf>
    <xf numFmtId="2" fontId="68" fillId="0" borderId="27" xfId="0" applyNumberFormat="1" applyFont="1" applyFill="1" applyBorder="1" applyAlignment="1" applyProtection="1">
      <alignment horizontal="center" vertical="center" wrapText="1"/>
    </xf>
    <xf numFmtId="2" fontId="68" fillId="0" borderId="102" xfId="0" applyNumberFormat="1" applyFont="1" applyFill="1" applyBorder="1" applyAlignment="1" applyProtection="1">
      <alignment horizontal="center" vertical="center" wrapText="1"/>
    </xf>
    <xf numFmtId="2" fontId="68" fillId="0" borderId="103" xfId="0" applyNumberFormat="1" applyFont="1" applyFill="1" applyBorder="1" applyAlignment="1" applyProtection="1">
      <alignment horizontal="center" vertical="center" wrapText="1"/>
    </xf>
    <xf numFmtId="0" fontId="68" fillId="41" borderId="107" xfId="0" applyNumberFormat="1" applyFont="1" applyFill="1" applyBorder="1" applyAlignment="1" applyProtection="1">
      <alignment horizontal="center" vertical="center" wrapText="1"/>
    </xf>
    <xf numFmtId="0" fontId="68" fillId="41" borderId="108" xfId="0" applyNumberFormat="1" applyFont="1" applyFill="1" applyBorder="1" applyAlignment="1" applyProtection="1">
      <alignment horizontal="center" vertical="center" wrapText="1"/>
    </xf>
    <xf numFmtId="0" fontId="68" fillId="41" borderId="109" xfId="0" applyNumberFormat="1" applyFont="1" applyFill="1" applyBorder="1" applyAlignment="1" applyProtection="1">
      <alignment horizontal="center" vertical="center" wrapText="1"/>
    </xf>
    <xf numFmtId="0" fontId="18" fillId="0" borderId="118" xfId="0" applyNumberFormat="1" applyFont="1" applyFill="1" applyBorder="1" applyAlignment="1" applyProtection="1">
      <alignment horizontal="center" vertical="center" wrapText="1"/>
    </xf>
    <xf numFmtId="0" fontId="18" fillId="0" borderId="108" xfId="0" applyNumberFormat="1" applyFont="1" applyFill="1" applyBorder="1" applyAlignment="1" applyProtection="1">
      <alignment horizontal="center" vertical="center" wrapText="1"/>
    </xf>
    <xf numFmtId="0" fontId="18" fillId="0" borderId="109"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right" vertical="center" wrapText="1"/>
    </xf>
    <xf numFmtId="0" fontId="68" fillId="0" borderId="108" xfId="0" applyNumberFormat="1" applyFont="1" applyFill="1" applyBorder="1" applyAlignment="1" applyProtection="1">
      <alignment horizontal="right" vertical="center" wrapText="1"/>
    </xf>
    <xf numFmtId="0" fontId="68" fillId="0" borderId="106" xfId="0" applyNumberFormat="1" applyFont="1" applyFill="1" applyBorder="1" applyAlignment="1" applyProtection="1">
      <alignment horizontal="right" vertical="center" wrapText="1"/>
    </xf>
    <xf numFmtId="167" fontId="68" fillId="41" borderId="107" xfId="0" applyNumberFormat="1" applyFont="1" applyFill="1" applyBorder="1" applyAlignment="1" applyProtection="1">
      <alignment horizontal="right" vertical="center" wrapText="1"/>
    </xf>
    <xf numFmtId="167" fontId="68" fillId="41" borderId="108" xfId="0" applyNumberFormat="1" applyFont="1" applyFill="1" applyBorder="1" applyAlignment="1" applyProtection="1">
      <alignment horizontal="right" vertical="center" wrapText="1"/>
    </xf>
    <xf numFmtId="167" fontId="68" fillId="41" borderId="106" xfId="0" applyNumberFormat="1" applyFont="1" applyFill="1" applyBorder="1" applyAlignment="1" applyProtection="1">
      <alignment horizontal="right" vertical="center" wrapText="1"/>
    </xf>
    <xf numFmtId="0" fontId="68" fillId="41" borderId="118" xfId="0" applyNumberFormat="1" applyFont="1" applyFill="1" applyBorder="1" applyAlignment="1" applyProtection="1">
      <alignment horizontal="left" vertical="center" wrapText="1"/>
    </xf>
    <xf numFmtId="0" fontId="68" fillId="41" borderId="108" xfId="0" applyNumberFormat="1" applyFont="1" applyFill="1" applyBorder="1" applyAlignment="1" applyProtection="1">
      <alignment horizontal="left" vertical="center" wrapText="1"/>
    </xf>
    <xf numFmtId="0" fontId="68" fillId="41" borderId="109" xfId="0" applyNumberFormat="1" applyFont="1" applyFill="1" applyBorder="1" applyAlignment="1" applyProtection="1">
      <alignment horizontal="left" vertical="center" wrapText="1"/>
    </xf>
    <xf numFmtId="2" fontId="18" fillId="0" borderId="10" xfId="0" applyNumberFormat="1" applyFont="1" applyFill="1" applyBorder="1" applyAlignment="1" applyProtection="1">
      <alignment horizontal="center" vertical="center" wrapText="1"/>
    </xf>
    <xf numFmtId="2" fontId="18" fillId="0" borderId="0" xfId="0" applyNumberFormat="1" applyFont="1" applyFill="1" applyBorder="1" applyAlignment="1" applyProtection="1">
      <alignment horizontal="center" vertical="center" wrapText="1"/>
    </xf>
    <xf numFmtId="2" fontId="18" fillId="0" borderId="11"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xf>
    <xf numFmtId="0" fontId="92" fillId="0" borderId="0" xfId="0" applyNumberFormat="1" applyFont="1" applyFill="1" applyBorder="1" applyAlignment="1" applyProtection="1">
      <alignment horizontal="left" vertical="center" wrapText="1"/>
    </xf>
    <xf numFmtId="2" fontId="18" fillId="0" borderId="69" xfId="0" applyNumberFormat="1" applyFont="1" applyFill="1" applyBorder="1" applyAlignment="1" applyProtection="1">
      <alignment horizontal="center" vertical="center" wrapText="1"/>
    </xf>
    <xf numFmtId="2" fontId="18" fillId="0" borderId="111" xfId="0" applyNumberFormat="1" applyFont="1" applyFill="1" applyBorder="1" applyAlignment="1" applyProtection="1">
      <alignment horizontal="center" vertical="center" wrapText="1"/>
    </xf>
    <xf numFmtId="2" fontId="18" fillId="0" borderId="54"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left" vertical="center"/>
    </xf>
    <xf numFmtId="0" fontId="18" fillId="0" borderId="75"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xf>
    <xf numFmtId="0" fontId="18" fillId="0" borderId="76" xfId="0" applyNumberFormat="1" applyFont="1" applyFill="1" applyBorder="1" applyAlignment="1" applyProtection="1">
      <alignment horizontal="center" vertical="center" wrapText="1"/>
    </xf>
    <xf numFmtId="2" fontId="18" fillId="0" borderId="23" xfId="0" applyNumberFormat="1" applyFont="1" applyFill="1" applyBorder="1" applyAlignment="1" applyProtection="1">
      <alignment horizontal="center" vertical="center" wrapText="1"/>
    </xf>
    <xf numFmtId="2" fontId="18" fillId="0" borderId="9" xfId="0" applyNumberFormat="1" applyFont="1" applyFill="1" applyBorder="1" applyAlignment="1" applyProtection="1">
      <alignment horizontal="center" vertical="center" wrapText="1"/>
    </xf>
    <xf numFmtId="2" fontId="18" fillId="0" borderId="3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horizontal="center" vertical="center"/>
    </xf>
    <xf numFmtId="0" fontId="18" fillId="0" borderId="57" xfId="0" applyNumberFormat="1" applyFont="1" applyFill="1" applyBorder="1" applyAlignment="1" applyProtection="1">
      <alignment horizontal="center" vertical="center"/>
    </xf>
    <xf numFmtId="0" fontId="68" fillId="41" borderId="9" xfId="0" applyNumberFormat="1" applyFont="1" applyFill="1" applyBorder="1" applyAlignment="1" applyProtection="1">
      <alignment horizontal="center" vertical="center"/>
    </xf>
    <xf numFmtId="0" fontId="68" fillId="41" borderId="30" xfId="0" applyNumberFormat="1" applyFont="1" applyFill="1" applyBorder="1" applyAlignment="1" applyProtection="1">
      <alignment horizontal="center" vertical="center"/>
    </xf>
    <xf numFmtId="0" fontId="18" fillId="0" borderId="9" xfId="0" applyNumberFormat="1" applyFont="1" applyFill="1" applyBorder="1" applyAlignment="1" applyProtection="1">
      <alignment horizontal="justify" vertical="center" wrapText="1"/>
    </xf>
    <xf numFmtId="0" fontId="18" fillId="0" borderId="30" xfId="0" applyNumberFormat="1" applyFont="1" applyFill="1" applyBorder="1" applyAlignment="1" applyProtection="1">
      <alignment horizontal="justify" vertical="center" wrapText="1"/>
    </xf>
    <xf numFmtId="0" fontId="68" fillId="41" borderId="75" xfId="0" applyNumberFormat="1" applyFont="1" applyFill="1" applyBorder="1" applyAlignment="1" applyProtection="1">
      <alignment horizontal="center" vertical="center" wrapText="1"/>
    </xf>
    <xf numFmtId="0" fontId="68" fillId="41" borderId="3" xfId="0" applyNumberFormat="1" applyFont="1" applyFill="1" applyBorder="1" applyAlignment="1" applyProtection="1">
      <alignment horizontal="center" vertical="center" wrapText="1"/>
    </xf>
    <xf numFmtId="0" fontId="68" fillId="41" borderId="76" xfId="0" applyNumberFormat="1" applyFont="1" applyFill="1" applyBorder="1" applyAlignment="1" applyProtection="1">
      <alignment horizontal="center" vertical="center" wrapText="1"/>
    </xf>
    <xf numFmtId="2" fontId="18" fillId="0" borderId="108" xfId="0" applyNumberFormat="1" applyFont="1" applyFill="1" applyBorder="1" applyAlignment="1" applyProtection="1">
      <alignment horizontal="center" vertical="center" wrapText="1"/>
    </xf>
    <xf numFmtId="2" fontId="18" fillId="0" borderId="109" xfId="0" applyNumberFormat="1" applyFont="1" applyFill="1" applyBorder="1" applyAlignment="1" applyProtection="1">
      <alignment horizontal="center" vertical="center" wrapText="1"/>
    </xf>
    <xf numFmtId="167" fontId="68" fillId="41" borderId="110" xfId="0" quotePrefix="1" applyNumberFormat="1" applyFont="1" applyFill="1" applyBorder="1" applyAlignment="1" applyProtection="1">
      <alignment horizontal="right" vertical="center" wrapText="1"/>
    </xf>
    <xf numFmtId="167" fontId="68" fillId="41" borderId="111" xfId="0" quotePrefix="1" applyNumberFormat="1" applyFont="1" applyFill="1" applyBorder="1" applyAlignment="1" applyProtection="1">
      <alignment horizontal="right" vertical="center" wrapText="1"/>
    </xf>
    <xf numFmtId="167" fontId="68" fillId="41" borderId="112" xfId="0" quotePrefix="1" applyNumberFormat="1" applyFont="1" applyFill="1" applyBorder="1" applyAlignment="1" applyProtection="1">
      <alignment horizontal="right" vertical="center" wrapText="1"/>
    </xf>
    <xf numFmtId="0" fontId="68" fillId="35" borderId="117" xfId="0" applyNumberFormat="1" applyFont="1" applyFill="1" applyBorder="1" applyAlignment="1" applyProtection="1">
      <alignment horizontal="left" vertical="center" wrapText="1"/>
    </xf>
    <xf numFmtId="0" fontId="68" fillId="35" borderId="113" xfId="0" applyNumberFormat="1" applyFont="1" applyFill="1" applyBorder="1" applyAlignment="1" applyProtection="1">
      <alignment horizontal="left" vertical="center" wrapText="1"/>
    </xf>
    <xf numFmtId="0" fontId="68" fillId="35" borderId="114" xfId="0" applyNumberFormat="1" applyFont="1" applyFill="1" applyBorder="1" applyAlignment="1" applyProtection="1">
      <alignment horizontal="left" vertical="center" wrapText="1"/>
    </xf>
    <xf numFmtId="2" fontId="68" fillId="0" borderId="118" xfId="0" applyNumberFormat="1" applyFont="1" applyFill="1" applyBorder="1" applyAlignment="1" applyProtection="1">
      <alignment horizontal="center" vertical="center" wrapText="1"/>
    </xf>
    <xf numFmtId="2" fontId="68" fillId="0" borderId="108" xfId="0" applyNumberFormat="1" applyFont="1" applyFill="1" applyBorder="1" applyAlignment="1" applyProtection="1">
      <alignment horizontal="center" vertical="center" wrapText="1"/>
    </xf>
    <xf numFmtId="2" fontId="68" fillId="0" borderId="109" xfId="0" applyNumberFormat="1" applyFont="1" applyFill="1" applyBorder="1" applyAlignment="1" applyProtection="1">
      <alignment horizontal="center" vertical="center" wrapText="1"/>
    </xf>
    <xf numFmtId="0" fontId="68" fillId="41" borderId="77" xfId="0" applyNumberFormat="1" applyFont="1" applyFill="1" applyBorder="1" applyAlignment="1" applyProtection="1">
      <alignment horizontal="center" vertical="center" wrapText="1"/>
    </xf>
    <xf numFmtId="0" fontId="68" fillId="41" borderId="2" xfId="0" applyNumberFormat="1" applyFont="1" applyFill="1" applyBorder="1" applyAlignment="1" applyProtection="1">
      <alignment horizontal="center" vertical="center" wrapText="1"/>
    </xf>
    <xf numFmtId="2" fontId="18" fillId="0" borderId="118" xfId="0" applyNumberFormat="1" applyFont="1" applyFill="1" applyBorder="1" applyAlignment="1" applyProtection="1">
      <alignment horizontal="center" vertical="center" wrapText="1"/>
    </xf>
    <xf numFmtId="0" fontId="68" fillId="41" borderId="106" xfId="0" applyNumberFormat="1" applyFont="1" applyFill="1" applyBorder="1" applyAlignment="1" applyProtection="1">
      <alignment horizontal="center" vertical="center" wrapText="1"/>
    </xf>
    <xf numFmtId="0" fontId="18" fillId="41" borderId="69" xfId="0" applyNumberFormat="1" applyFont="1" applyFill="1" applyBorder="1" applyAlignment="1" applyProtection="1">
      <alignment horizontal="center" vertical="center" wrapText="1"/>
    </xf>
    <xf numFmtId="0" fontId="18" fillId="41" borderId="111" xfId="0" applyNumberFormat="1" applyFont="1" applyFill="1" applyBorder="1" applyAlignment="1" applyProtection="1">
      <alignment horizontal="center" vertical="center" wrapText="1"/>
    </xf>
    <xf numFmtId="167" fontId="68" fillId="41" borderId="37" xfId="0" applyNumberFormat="1" applyFont="1" applyFill="1" applyBorder="1" applyAlignment="1" applyProtection="1">
      <alignment horizontal="center" vertical="center" wrapText="1"/>
    </xf>
    <xf numFmtId="167" fontId="68" fillId="41" borderId="111" xfId="0" applyNumberFormat="1" applyFont="1" applyFill="1" applyBorder="1" applyAlignment="1" applyProtection="1">
      <alignment horizontal="center" vertical="center" wrapText="1"/>
    </xf>
    <xf numFmtId="167" fontId="68" fillId="41" borderId="54" xfId="0" applyNumberFormat="1" applyFont="1" applyFill="1" applyBorder="1" applyAlignment="1" applyProtection="1">
      <alignment horizontal="center" vertical="center" wrapText="1"/>
    </xf>
    <xf numFmtId="0" fontId="18" fillId="0" borderId="47" xfId="0" applyNumberFormat="1" applyFont="1" applyFill="1" applyBorder="1" applyAlignment="1" applyProtection="1">
      <alignment horizontal="center" vertical="center" wrapText="1"/>
    </xf>
    <xf numFmtId="0" fontId="18" fillId="0"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xf>
    <xf numFmtId="0" fontId="18" fillId="0" borderId="127" xfId="0" applyNumberFormat="1" applyFont="1" applyFill="1" applyBorder="1" applyAlignment="1" applyProtection="1">
      <alignment horizontal="center" vertical="center" wrapText="1"/>
    </xf>
    <xf numFmtId="0" fontId="18" fillId="0" borderId="15" xfId="0" applyNumberFormat="1" applyFont="1" applyFill="1" applyBorder="1" applyAlignment="1" applyProtection="1">
      <alignment horizontal="center" vertical="center" wrapText="1"/>
    </xf>
    <xf numFmtId="0" fontId="18" fillId="0" borderId="28" xfId="0" applyNumberFormat="1" applyFont="1" applyFill="1" applyBorder="1" applyAlignment="1" applyProtection="1">
      <alignment horizontal="center" vertical="center" wrapText="1"/>
    </xf>
    <xf numFmtId="2" fontId="18" fillId="0" borderId="123" xfId="0" applyNumberFormat="1" applyFont="1" applyFill="1" applyBorder="1" applyAlignment="1" applyProtection="1">
      <alignment horizontal="center" vertical="center" wrapText="1"/>
    </xf>
    <xf numFmtId="2" fontId="18" fillId="0" borderId="55" xfId="0" applyNumberFormat="1" applyFont="1" applyFill="1" applyBorder="1" applyAlignment="1" applyProtection="1">
      <alignment horizontal="center" vertical="center" wrapText="1"/>
    </xf>
    <xf numFmtId="2" fontId="18" fillId="0" borderId="6" xfId="0" applyNumberFormat="1" applyFont="1" applyFill="1" applyBorder="1" applyAlignment="1" applyProtection="1">
      <alignment horizontal="center" vertical="center" wrapText="1"/>
    </xf>
    <xf numFmtId="0" fontId="18" fillId="0" borderId="123" xfId="0" applyNumberFormat="1" applyFont="1" applyFill="1" applyBorder="1" applyAlignment="1" applyProtection="1">
      <alignment horizontal="center" vertical="center" wrapText="1"/>
    </xf>
    <xf numFmtId="0" fontId="18" fillId="0" borderId="55" xfId="0" applyNumberFormat="1" applyFont="1" applyFill="1" applyBorder="1" applyAlignment="1" applyProtection="1">
      <alignment horizontal="center" vertical="center" wrapText="1"/>
    </xf>
    <xf numFmtId="0" fontId="18" fillId="0" borderId="6" xfId="0" applyNumberFormat="1" applyFont="1" applyFill="1" applyBorder="1" applyAlignment="1" applyProtection="1">
      <alignment horizontal="center" vertical="center" wrapText="1"/>
    </xf>
    <xf numFmtId="0" fontId="18" fillId="0" borderId="119" xfId="0" applyNumberFormat="1" applyFont="1" applyFill="1" applyBorder="1" applyAlignment="1" applyProtection="1">
      <alignment horizontal="center" vertical="center" wrapText="1"/>
    </xf>
    <xf numFmtId="0" fontId="18" fillId="0" borderId="102" xfId="0" applyNumberFormat="1" applyFont="1" applyFill="1" applyBorder="1" applyAlignment="1" applyProtection="1">
      <alignment horizontal="center" vertical="center" wrapText="1"/>
    </xf>
    <xf numFmtId="0" fontId="18" fillId="0" borderId="103" xfId="0" applyNumberFormat="1" applyFont="1" applyFill="1" applyBorder="1" applyAlignment="1" applyProtection="1">
      <alignment horizontal="center" vertical="center" wrapText="1"/>
    </xf>
    <xf numFmtId="0" fontId="18" fillId="0" borderId="58"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wrapText="1"/>
    </xf>
    <xf numFmtId="0" fontId="18" fillId="0" borderId="11" xfId="0" applyNumberFormat="1" applyFont="1" applyFill="1" applyBorder="1" applyAlignment="1" applyProtection="1">
      <alignment horizontal="center" vertical="center" wrapText="1"/>
    </xf>
    <xf numFmtId="2" fontId="18" fillId="0" borderId="107" xfId="0" applyNumberFormat="1" applyFont="1" applyFill="1" applyBorder="1" applyAlignment="1" applyProtection="1">
      <alignment horizontal="center" vertical="center" wrapText="1"/>
    </xf>
    <xf numFmtId="2" fontId="18" fillId="0" borderId="106" xfId="0" applyNumberFormat="1" applyFont="1" applyFill="1" applyBorder="1" applyAlignment="1" applyProtection="1">
      <alignment horizontal="center" vertical="center" wrapText="1"/>
    </xf>
    <xf numFmtId="0" fontId="68" fillId="41" borderId="69" xfId="0" applyNumberFormat="1" applyFont="1" applyFill="1" applyBorder="1" applyAlignment="1" applyProtection="1">
      <alignment horizontal="center" vertical="center" wrapText="1"/>
    </xf>
    <xf numFmtId="0" fontId="68" fillId="41" borderId="39" xfId="0" applyNumberFormat="1" applyFont="1" applyFill="1" applyBorder="1" applyAlignment="1" applyProtection="1">
      <alignment horizontal="center" vertical="center" wrapText="1"/>
    </xf>
    <xf numFmtId="0" fontId="68" fillId="41" borderId="37" xfId="0" applyNumberFormat="1" applyFont="1" applyFill="1" applyBorder="1" applyAlignment="1" applyProtection="1">
      <alignment horizontal="right" vertical="center" wrapText="1"/>
    </xf>
    <xf numFmtId="0" fontId="68" fillId="41" borderId="111" xfId="0" applyNumberFormat="1" applyFont="1" applyFill="1" applyBorder="1" applyAlignment="1" applyProtection="1">
      <alignment horizontal="right" vertical="center" wrapText="1"/>
    </xf>
    <xf numFmtId="0" fontId="68" fillId="41" borderId="39" xfId="0" applyNumberFormat="1" applyFont="1" applyFill="1" applyBorder="1" applyAlignment="1" applyProtection="1">
      <alignment horizontal="right" vertical="center" wrapText="1"/>
    </xf>
    <xf numFmtId="0" fontId="68" fillId="41" borderId="118" xfId="0" applyNumberFormat="1" applyFont="1" applyFill="1" applyBorder="1" applyAlignment="1" applyProtection="1">
      <alignment horizontal="center" vertical="center" wrapText="1"/>
    </xf>
    <xf numFmtId="0" fontId="18" fillId="0" borderId="125" xfId="0" applyNumberFormat="1" applyFont="1" applyFill="1" applyBorder="1" applyAlignment="1" applyProtection="1">
      <alignment horizontal="center" vertical="center" wrapText="1"/>
    </xf>
    <xf numFmtId="0" fontId="18" fillId="0" borderId="126"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horizontal="center" vertical="center" wrapText="1"/>
    </xf>
    <xf numFmtId="0" fontId="18" fillId="0" borderId="57" xfId="0" applyNumberFormat="1" applyFont="1" applyFill="1" applyBorder="1" applyAlignment="1" applyProtection="1">
      <alignment horizontal="center" vertical="center" wrapText="1"/>
    </xf>
    <xf numFmtId="0" fontId="18" fillId="0" borderId="2" xfId="0" applyNumberFormat="1" applyFont="1" applyFill="1" applyBorder="1" applyAlignment="1" applyProtection="1">
      <alignment horizontal="center" vertical="center" wrapText="1"/>
    </xf>
    <xf numFmtId="0" fontId="18" fillId="0" borderId="106" xfId="0" applyNumberFormat="1" applyFont="1" applyFill="1" applyBorder="1" applyAlignment="1" applyProtection="1">
      <alignment horizontal="center" vertical="center" wrapText="1"/>
    </xf>
    <xf numFmtId="167" fontId="18" fillId="0" borderId="119" xfId="0" applyNumberFormat="1" applyFont="1" applyFill="1" applyBorder="1" applyAlignment="1" applyProtection="1">
      <alignment horizontal="center" vertical="center" wrapText="1"/>
    </xf>
    <xf numFmtId="167" fontId="18" fillId="0" borderId="126" xfId="0" applyNumberFormat="1" applyFont="1" applyFill="1" applyBorder="1" applyAlignment="1" applyProtection="1">
      <alignment horizontal="center" vertical="center" wrapText="1"/>
    </xf>
    <xf numFmtId="167" fontId="18" fillId="0" borderId="107" xfId="0" applyNumberFormat="1" applyFont="1" applyFill="1" applyBorder="1" applyAlignment="1" applyProtection="1">
      <alignment horizontal="center" vertical="center" wrapText="1"/>
    </xf>
    <xf numFmtId="167" fontId="18" fillId="0" borderId="108" xfId="0" applyNumberFormat="1" applyFont="1" applyFill="1" applyBorder="1" applyAlignment="1" applyProtection="1">
      <alignment horizontal="center" vertical="center" wrapText="1"/>
    </xf>
    <xf numFmtId="167" fontId="18" fillId="0" borderId="109" xfId="0" applyNumberFormat="1" applyFont="1" applyFill="1" applyBorder="1" applyAlignment="1" applyProtection="1">
      <alignment horizontal="center" vertical="center" wrapText="1"/>
    </xf>
    <xf numFmtId="0" fontId="18" fillId="0" borderId="69" xfId="0" applyNumberFormat="1" applyFont="1" applyFill="1" applyBorder="1" applyAlignment="1" applyProtection="1">
      <alignment horizontal="center" vertical="center" wrapText="1"/>
    </xf>
    <xf numFmtId="0" fontId="18" fillId="0" borderId="39" xfId="0" applyNumberFormat="1" applyFont="1" applyFill="1" applyBorder="1" applyAlignment="1" applyProtection="1">
      <alignment horizontal="center" vertical="center" wrapText="1"/>
    </xf>
    <xf numFmtId="167" fontId="18" fillId="0" borderId="37" xfId="0" applyNumberFormat="1" applyFont="1" applyFill="1" applyBorder="1" applyAlignment="1" applyProtection="1">
      <alignment horizontal="center" vertical="center" wrapText="1"/>
    </xf>
    <xf numFmtId="167" fontId="18" fillId="0" borderId="39" xfId="0" applyNumberFormat="1" applyFont="1" applyFill="1" applyBorder="1" applyAlignment="1" applyProtection="1">
      <alignment horizontal="center" vertical="center" wrapText="1"/>
    </xf>
    <xf numFmtId="167" fontId="18" fillId="0" borderId="111" xfId="0" applyNumberFormat="1" applyFont="1" applyFill="1" applyBorder="1" applyAlignment="1" applyProtection="1">
      <alignment horizontal="center" vertical="center" wrapText="1"/>
    </xf>
    <xf numFmtId="167" fontId="18" fillId="0" borderId="54" xfId="0" applyNumberFormat="1" applyFont="1" applyFill="1" applyBorder="1" applyAlignment="1" applyProtection="1">
      <alignment horizontal="center" vertical="center" wrapText="1"/>
    </xf>
    <xf numFmtId="2" fontId="18" fillId="0" borderId="125" xfId="0" applyNumberFormat="1" applyFont="1" applyFill="1" applyBorder="1" applyAlignment="1" applyProtection="1">
      <alignment horizontal="center" vertical="center" wrapText="1"/>
    </xf>
    <xf numFmtId="2" fontId="18" fillId="0" borderId="102" xfId="0" applyNumberFormat="1" applyFont="1" applyFill="1" applyBorder="1" applyAlignment="1" applyProtection="1">
      <alignment horizontal="center" vertical="center" wrapText="1"/>
    </xf>
    <xf numFmtId="2" fontId="18" fillId="0" borderId="103" xfId="0" applyNumberFormat="1" applyFont="1" applyFill="1" applyBorder="1" applyAlignment="1" applyProtection="1">
      <alignment horizontal="center" vertical="center" wrapText="1"/>
    </xf>
    <xf numFmtId="167" fontId="18" fillId="0" borderId="107" xfId="0" applyNumberFormat="1" applyFont="1" applyFill="1" applyBorder="1" applyAlignment="1" applyProtection="1">
      <alignment horizontal="right" vertical="center" wrapText="1"/>
    </xf>
    <xf numFmtId="167" fontId="18" fillId="0" borderId="109" xfId="0" applyNumberFormat="1" applyFont="1" applyFill="1" applyBorder="1" applyAlignment="1" applyProtection="1">
      <alignment horizontal="right" vertical="center" wrapText="1"/>
    </xf>
    <xf numFmtId="0" fontId="68" fillId="41" borderId="111" xfId="0" applyNumberFormat="1" applyFont="1" applyFill="1" applyBorder="1" applyAlignment="1" applyProtection="1">
      <alignment horizontal="center" vertical="center" wrapText="1"/>
    </xf>
    <xf numFmtId="0" fontId="68" fillId="41" borderId="23" xfId="0" applyNumberFormat="1" applyFont="1" applyFill="1" applyBorder="1" applyAlignment="1" applyProtection="1">
      <alignment horizontal="center" vertical="center" wrapText="1"/>
    </xf>
    <xf numFmtId="167" fontId="68" fillId="41" borderId="69" xfId="0" applyNumberFormat="1" applyFont="1" applyFill="1" applyBorder="1" applyAlignment="1" applyProtection="1">
      <alignment horizontal="center" vertical="center" wrapText="1"/>
    </xf>
    <xf numFmtId="167" fontId="18" fillId="0" borderId="125" xfId="0" quotePrefix="1" applyNumberFormat="1" applyFont="1" applyFill="1" applyBorder="1" applyAlignment="1" applyProtection="1">
      <alignment horizontal="center" vertical="center" wrapText="1"/>
    </xf>
    <xf numFmtId="167" fontId="18" fillId="0" borderId="126" xfId="0" quotePrefix="1" applyNumberFormat="1" applyFont="1" applyFill="1" applyBorder="1" applyAlignment="1" applyProtection="1">
      <alignment horizontal="center" vertical="center" wrapText="1"/>
    </xf>
    <xf numFmtId="167" fontId="18" fillId="0" borderId="102" xfId="0" applyNumberFormat="1" applyFont="1" applyFill="1" applyBorder="1" applyAlignment="1" applyProtection="1">
      <alignment horizontal="center" vertical="center" wrapText="1"/>
    </xf>
    <xf numFmtId="167" fontId="18" fillId="0" borderId="103" xfId="0" applyNumberFormat="1" applyFont="1" applyFill="1" applyBorder="1" applyAlignment="1" applyProtection="1">
      <alignment horizontal="center" vertical="center" wrapText="1"/>
    </xf>
    <xf numFmtId="167" fontId="18" fillId="0" borderId="117" xfId="0" applyNumberFormat="1" applyFont="1" applyFill="1" applyBorder="1" applyAlignment="1" applyProtection="1">
      <alignment horizontal="center" vertical="center" wrapText="1"/>
    </xf>
    <xf numFmtId="167" fontId="18" fillId="0" borderId="113" xfId="0" applyNumberFormat="1" applyFont="1" applyFill="1" applyBorder="1" applyAlignment="1" applyProtection="1">
      <alignment horizontal="center" vertical="center" wrapText="1"/>
    </xf>
    <xf numFmtId="167" fontId="18" fillId="0" borderId="114" xfId="0" applyNumberFormat="1" applyFont="1" applyFill="1" applyBorder="1" applyAlignment="1" applyProtection="1">
      <alignment horizontal="center" vertical="center" wrapText="1"/>
    </xf>
    <xf numFmtId="167" fontId="64" fillId="0" borderId="0" xfId="0" applyNumberFormat="1" applyFont="1" applyFill="1" applyBorder="1" applyAlignment="1" applyProtection="1">
      <alignment horizontal="left" vertical="center" wrapText="1"/>
    </xf>
    <xf numFmtId="167" fontId="64" fillId="0" borderId="11" xfId="0" applyNumberFormat="1" applyFont="1" applyFill="1" applyBorder="1" applyAlignment="1" applyProtection="1">
      <alignment horizontal="left" vertical="center" wrapText="1"/>
    </xf>
    <xf numFmtId="0" fontId="68" fillId="41" borderId="69" xfId="0" applyNumberFormat="1" applyFont="1" applyFill="1" applyBorder="1" applyAlignment="1" applyProtection="1">
      <alignment horizontal="right" vertical="center" wrapText="1"/>
    </xf>
    <xf numFmtId="0" fontId="68" fillId="0"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xf>
    <xf numFmtId="167" fontId="18" fillId="0" borderId="118"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left" vertical="center"/>
    </xf>
    <xf numFmtId="0" fontId="18" fillId="0" borderId="77" xfId="0" applyNumberFormat="1" applyFont="1" applyFill="1" applyBorder="1" applyAlignment="1" applyProtection="1">
      <alignment horizontal="center" vertical="center" wrapText="1"/>
    </xf>
    <xf numFmtId="167" fontId="18" fillId="42" borderId="118" xfId="0" applyNumberFormat="1" applyFont="1" applyFill="1" applyBorder="1" applyAlignment="1" applyProtection="1">
      <alignment horizontal="center" vertical="center" wrapText="1"/>
    </xf>
    <xf numFmtId="167" fontId="18" fillId="42" borderId="108" xfId="0" applyNumberFormat="1" applyFont="1" applyFill="1" applyBorder="1" applyAlignment="1" applyProtection="1">
      <alignment horizontal="center" vertical="center" wrapText="1"/>
    </xf>
    <xf numFmtId="167" fontId="18" fillId="42" borderId="109" xfId="0" applyNumberFormat="1" applyFont="1" applyFill="1" applyBorder="1" applyAlignment="1" applyProtection="1">
      <alignment horizontal="center" vertical="center" wrapText="1"/>
    </xf>
    <xf numFmtId="167" fontId="68" fillId="41" borderId="69" xfId="0" applyNumberFormat="1" applyFont="1" applyFill="1" applyBorder="1" applyAlignment="1" applyProtection="1">
      <alignment horizontal="right" vertical="center" wrapText="1"/>
    </xf>
    <xf numFmtId="167" fontId="68" fillId="41" borderId="111" xfId="0" applyNumberFormat="1" applyFont="1" applyFill="1" applyBorder="1" applyAlignment="1" applyProtection="1">
      <alignment horizontal="right" vertical="center" wrapText="1"/>
    </xf>
    <xf numFmtId="167" fontId="68" fillId="41" borderId="39" xfId="0" applyNumberFormat="1" applyFont="1" applyFill="1" applyBorder="1" applyAlignment="1" applyProtection="1">
      <alignment horizontal="right" vertical="center" wrapText="1"/>
    </xf>
    <xf numFmtId="0" fontId="68" fillId="0" borderId="50"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68" fillId="0" borderId="51" xfId="0" applyNumberFormat="1" applyFont="1" applyFill="1" applyBorder="1" applyAlignment="1" applyProtection="1">
      <alignment horizontal="center" vertical="center" wrapText="1"/>
    </xf>
    <xf numFmtId="0" fontId="94" fillId="35" borderId="40" xfId="0" applyNumberFormat="1" applyFont="1" applyFill="1" applyBorder="1" applyAlignment="1" applyProtection="1">
      <alignment horizontal="left" vertical="center"/>
    </xf>
    <xf numFmtId="0" fontId="94" fillId="35" borderId="51" xfId="0" applyNumberFormat="1" applyFont="1" applyFill="1" applyBorder="1" applyAlignment="1" applyProtection="1">
      <alignment horizontal="left" vertical="center"/>
    </xf>
    <xf numFmtId="0" fontId="18" fillId="42" borderId="75" xfId="0" applyNumberFormat="1" applyFont="1" applyFill="1" applyBorder="1" applyAlignment="1" applyProtection="1">
      <alignment horizontal="center" vertical="center" wrapText="1"/>
    </xf>
    <xf numFmtId="0" fontId="18" fillId="42" borderId="3" xfId="0" applyNumberFormat="1" applyFont="1" applyFill="1" applyBorder="1" applyAlignment="1" applyProtection="1">
      <alignment horizontal="center" vertical="center" wrapText="1"/>
    </xf>
    <xf numFmtId="0" fontId="18" fillId="42" borderId="76" xfId="0" applyNumberFormat="1" applyFont="1" applyFill="1" applyBorder="1" applyAlignment="1" applyProtection="1">
      <alignment horizontal="center" vertical="center" wrapText="1"/>
    </xf>
    <xf numFmtId="2" fontId="18" fillId="42" borderId="125" xfId="0" applyNumberFormat="1" applyFont="1" applyFill="1" applyBorder="1" applyAlignment="1" applyProtection="1">
      <alignment horizontal="center" vertical="center" wrapText="1"/>
    </xf>
    <xf numFmtId="2" fontId="18" fillId="42" borderId="102" xfId="0" applyNumberFormat="1" applyFont="1" applyFill="1" applyBorder="1" applyAlignment="1" applyProtection="1">
      <alignment horizontal="center" vertical="center" wrapText="1"/>
    </xf>
    <xf numFmtId="2" fontId="18" fillId="42" borderId="103" xfId="0" applyNumberFormat="1" applyFont="1" applyFill="1" applyBorder="1" applyAlignment="1" applyProtection="1">
      <alignment horizontal="center" vertical="center" wrapText="1"/>
    </xf>
    <xf numFmtId="0" fontId="68" fillId="0" borderId="125"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xf>
    <xf numFmtId="0" fontId="68" fillId="42" borderId="125" xfId="0" applyNumberFormat="1" applyFont="1" applyFill="1" applyBorder="1" applyAlignment="1" applyProtection="1">
      <alignment horizontal="center" vertical="center" wrapText="1"/>
    </xf>
    <xf numFmtId="0" fontId="68" fillId="42" borderId="126" xfId="0" applyNumberFormat="1" applyFont="1" applyFill="1" applyBorder="1" applyAlignment="1" applyProtection="1">
      <alignment horizontal="center" vertical="center" wrapText="1"/>
    </xf>
    <xf numFmtId="0" fontId="68" fillId="42" borderId="10" xfId="0" applyNumberFormat="1" applyFont="1" applyFill="1" applyBorder="1" applyAlignment="1" applyProtection="1">
      <alignment horizontal="center" vertical="center" wrapText="1"/>
    </xf>
    <xf numFmtId="0" fontId="68" fillId="42" borderId="57" xfId="0" applyNumberFormat="1" applyFont="1" applyFill="1" applyBorder="1" applyAlignment="1" applyProtection="1">
      <alignment horizontal="center" vertical="center" wrapText="1"/>
    </xf>
    <xf numFmtId="0" fontId="68" fillId="42" borderId="75" xfId="0" applyNumberFormat="1" applyFont="1" applyFill="1" applyBorder="1" applyAlignment="1" applyProtection="1">
      <alignment horizontal="center" vertical="center" wrapText="1"/>
    </xf>
    <xf numFmtId="0" fontId="68" fillId="42" borderId="2" xfId="0" applyNumberFormat="1" applyFont="1" applyFill="1" applyBorder="1" applyAlignment="1" applyProtection="1">
      <alignment horizontal="center" vertical="center" wrapText="1"/>
    </xf>
    <xf numFmtId="0" fontId="68" fillId="42" borderId="107" xfId="0" applyNumberFormat="1" applyFont="1" applyFill="1" applyBorder="1" applyAlignment="1" applyProtection="1">
      <alignment horizontal="right" vertical="center" wrapText="1"/>
    </xf>
    <xf numFmtId="0" fontId="68" fillId="42" borderId="108" xfId="0" applyNumberFormat="1" applyFont="1" applyFill="1" applyBorder="1" applyAlignment="1" applyProtection="1">
      <alignment horizontal="right" vertical="center" wrapText="1"/>
    </xf>
    <xf numFmtId="0" fontId="68" fillId="42" borderId="106" xfId="0" applyNumberFormat="1" applyFont="1" applyFill="1" applyBorder="1" applyAlignment="1" applyProtection="1">
      <alignment horizontal="right" vertical="center" wrapText="1"/>
    </xf>
    <xf numFmtId="167" fontId="18" fillId="0" borderId="118" xfId="0" quotePrefix="1" applyNumberFormat="1" applyFont="1" applyFill="1" applyBorder="1" applyAlignment="1" applyProtection="1">
      <alignment horizontal="center" vertical="center" wrapText="1"/>
    </xf>
    <xf numFmtId="167" fontId="18" fillId="0" borderId="117" xfId="0" quotePrefix="1" applyNumberFormat="1" applyFont="1" applyFill="1" applyBorder="1" applyAlignment="1" applyProtection="1">
      <alignment horizontal="center" vertical="center" wrapText="1"/>
    </xf>
    <xf numFmtId="167" fontId="18" fillId="0" borderId="113" xfId="0" quotePrefix="1" applyNumberFormat="1" applyFont="1" applyFill="1" applyBorder="1" applyAlignment="1" applyProtection="1">
      <alignment horizontal="center" vertical="center" wrapText="1"/>
    </xf>
    <xf numFmtId="167" fontId="18" fillId="0" borderId="114" xfId="0" quotePrefix="1" applyNumberFormat="1" applyFont="1" applyFill="1" applyBorder="1" applyAlignment="1" applyProtection="1">
      <alignment horizontal="center" vertical="center" wrapText="1"/>
    </xf>
    <xf numFmtId="167" fontId="18" fillId="0" borderId="108" xfId="0" quotePrefix="1" applyNumberFormat="1" applyFont="1" applyFill="1" applyBorder="1" applyAlignment="1" applyProtection="1">
      <alignment horizontal="center" vertical="center" wrapText="1"/>
    </xf>
    <xf numFmtId="167" fontId="18" fillId="0" borderId="109" xfId="0" quotePrefix="1" applyNumberFormat="1" applyFont="1" applyFill="1" applyBorder="1" applyAlignment="1" applyProtection="1">
      <alignment horizontal="center" vertical="center" wrapText="1"/>
    </xf>
    <xf numFmtId="167" fontId="18" fillId="0" borderId="106" xfId="0" applyNumberFormat="1" applyFont="1" applyFill="1" applyBorder="1" applyAlignment="1" applyProtection="1">
      <alignment horizontal="center" vertical="center" wrapText="1"/>
    </xf>
    <xf numFmtId="0" fontId="68" fillId="41" borderId="37" xfId="0" applyNumberFormat="1" applyFont="1" applyFill="1" applyBorder="1" applyAlignment="1" applyProtection="1">
      <alignment horizontal="center" vertical="center" wrapText="1"/>
    </xf>
    <xf numFmtId="0" fontId="68" fillId="41" borderId="54" xfId="0" applyNumberFormat="1" applyFont="1" applyFill="1" applyBorder="1" applyAlignment="1" applyProtection="1">
      <alignment horizontal="center" vertical="center" wrapText="1"/>
    </xf>
    <xf numFmtId="167" fontId="68" fillId="41" borderId="69" xfId="0" quotePrefix="1" applyNumberFormat="1" applyFont="1" applyFill="1" applyBorder="1" applyAlignment="1" applyProtection="1">
      <alignment horizontal="right" vertical="center" wrapText="1"/>
    </xf>
    <xf numFmtId="167" fontId="68" fillId="41" borderId="39" xfId="0" quotePrefix="1" applyNumberFormat="1" applyFont="1" applyFill="1" applyBorder="1" applyAlignment="1" applyProtection="1">
      <alignment horizontal="right" vertical="center" wrapText="1"/>
    </xf>
    <xf numFmtId="167" fontId="18" fillId="0" borderId="10" xfId="0" quotePrefix="1" applyNumberFormat="1" applyFont="1" applyFill="1" applyBorder="1" applyAlignment="1" applyProtection="1">
      <alignment horizontal="center" vertical="center" wrapText="1"/>
    </xf>
    <xf numFmtId="167" fontId="18" fillId="0" borderId="57" xfId="0" quotePrefix="1" applyNumberFormat="1" applyFont="1" applyFill="1" applyBorder="1" applyAlignment="1" applyProtection="1">
      <alignment horizontal="center" vertical="center" wrapText="1"/>
    </xf>
    <xf numFmtId="167" fontId="18" fillId="0" borderId="75" xfId="0" quotePrefix="1" applyNumberFormat="1" applyFont="1" applyFill="1" applyBorder="1" applyAlignment="1" applyProtection="1">
      <alignment horizontal="center" vertical="center" wrapText="1"/>
    </xf>
    <xf numFmtId="167" fontId="18" fillId="0" borderId="2" xfId="0" quotePrefix="1" applyNumberFormat="1" applyFont="1" applyFill="1" applyBorder="1" applyAlignment="1" applyProtection="1">
      <alignment horizontal="center" vertical="center" wrapText="1"/>
    </xf>
    <xf numFmtId="167" fontId="18" fillId="0" borderId="123" xfId="0" quotePrefix="1" applyNumberFormat="1" applyFont="1" applyFill="1" applyBorder="1" applyAlignment="1" applyProtection="1">
      <alignment horizontal="center" vertical="center" wrapText="1"/>
    </xf>
    <xf numFmtId="167" fontId="18" fillId="0" borderId="55" xfId="0" quotePrefix="1" applyNumberFormat="1" applyFont="1" applyFill="1" applyBorder="1" applyAlignment="1" applyProtection="1">
      <alignment horizontal="center" vertical="center" wrapText="1"/>
    </xf>
    <xf numFmtId="167" fontId="18" fillId="0" borderId="6" xfId="0" quotePrefix="1" applyNumberFormat="1" applyFont="1" applyFill="1" applyBorder="1" applyAlignment="1" applyProtection="1">
      <alignment horizontal="center" vertical="center" wrapText="1"/>
    </xf>
    <xf numFmtId="167" fontId="18" fillId="0" borderId="123" xfId="0" applyNumberFormat="1" applyFont="1" applyFill="1" applyBorder="1" applyAlignment="1" applyProtection="1">
      <alignment horizontal="center" vertical="center" wrapText="1"/>
    </xf>
    <xf numFmtId="167" fontId="18" fillId="0" borderId="55" xfId="0" applyNumberFormat="1" applyFont="1" applyFill="1" applyBorder="1" applyAlignment="1" applyProtection="1">
      <alignment horizontal="center" vertical="center" wrapText="1"/>
    </xf>
    <xf numFmtId="167" fontId="18" fillId="0" borderId="6" xfId="0" applyNumberFormat="1" applyFont="1" applyFill="1" applyBorder="1" applyAlignment="1" applyProtection="1">
      <alignment horizontal="center" vertical="center" wrapText="1"/>
    </xf>
    <xf numFmtId="167" fontId="18" fillId="0" borderId="58" xfId="0" applyNumberFormat="1" applyFont="1" applyFill="1" applyBorder="1" applyAlignment="1" applyProtection="1">
      <alignment horizontal="center" vertical="center" wrapText="1"/>
    </xf>
    <xf numFmtId="167" fontId="18" fillId="0" borderId="11" xfId="0" applyNumberFormat="1" applyFont="1" applyFill="1" applyBorder="1" applyAlignment="1" applyProtection="1">
      <alignment horizontal="center" vertical="center" wrapText="1"/>
    </xf>
    <xf numFmtId="167" fontId="18" fillId="0" borderId="77" xfId="0" applyNumberFormat="1" applyFont="1" applyFill="1" applyBorder="1" applyAlignment="1" applyProtection="1">
      <alignment horizontal="center" vertical="center" wrapText="1"/>
    </xf>
    <xf numFmtId="167" fontId="18" fillId="0" borderId="76" xfId="0" applyNumberFormat="1" applyFont="1" applyFill="1" applyBorder="1" applyAlignment="1" applyProtection="1">
      <alignment horizontal="center" vertical="center" wrapText="1"/>
    </xf>
    <xf numFmtId="167" fontId="68" fillId="0" borderId="107" xfId="0" applyNumberFormat="1" applyFont="1" applyFill="1" applyBorder="1" applyAlignment="1" applyProtection="1">
      <alignment horizontal="center" vertical="center" wrapText="1"/>
    </xf>
    <xf numFmtId="167" fontId="68" fillId="0" borderId="109" xfId="0" applyNumberFormat="1" applyFont="1" applyFill="1" applyBorder="1" applyAlignment="1" applyProtection="1">
      <alignment horizontal="center" vertical="center" wrapText="1"/>
    </xf>
    <xf numFmtId="0" fontId="94" fillId="0" borderId="119" xfId="0" applyNumberFormat="1" applyFont="1" applyFill="1" applyBorder="1" applyAlignment="1" applyProtection="1">
      <alignment horizontal="center" vertical="center" wrapText="1"/>
    </xf>
    <xf numFmtId="0" fontId="94" fillId="0" borderId="103" xfId="0" applyNumberFormat="1" applyFont="1" applyFill="1" applyBorder="1" applyAlignment="1" applyProtection="1">
      <alignment horizontal="center" vertical="center" wrapText="1"/>
    </xf>
    <xf numFmtId="0" fontId="94" fillId="0" borderId="58"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xf>
    <xf numFmtId="0" fontId="94" fillId="0" borderId="117" xfId="0" applyNumberFormat="1" applyFont="1" applyFill="1" applyBorder="1" applyAlignment="1" applyProtection="1">
      <alignment horizontal="center" vertical="center" wrapText="1"/>
    </xf>
    <xf numFmtId="0" fontId="94" fillId="0" borderId="114" xfId="0" applyNumberFormat="1" applyFont="1" applyFill="1" applyBorder="1" applyAlignment="1" applyProtection="1">
      <alignment horizontal="center" vertical="center" wrapText="1"/>
    </xf>
    <xf numFmtId="167" fontId="68" fillId="41" borderId="125" xfId="0" applyNumberFormat="1" applyFont="1" applyFill="1" applyBorder="1" applyAlignment="1" applyProtection="1">
      <alignment horizontal="center" vertical="center" wrapText="1"/>
    </xf>
    <xf numFmtId="167" fontId="68" fillId="41" borderId="102" xfId="0" applyNumberFormat="1" applyFont="1" applyFill="1" applyBorder="1" applyAlignment="1" applyProtection="1">
      <alignment horizontal="center" vertical="center" wrapText="1"/>
    </xf>
    <xf numFmtId="167" fontId="68" fillId="41" borderId="126" xfId="0" applyNumberFormat="1" applyFont="1" applyFill="1" applyBorder="1" applyAlignment="1" applyProtection="1">
      <alignment horizontal="center" vertical="center" wrapText="1"/>
    </xf>
    <xf numFmtId="167" fontId="68" fillId="41" borderId="39"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horizontal="center" vertical="center" wrapText="1"/>
    </xf>
    <xf numFmtId="0" fontId="102" fillId="41" borderId="118" xfId="0" applyNumberFormat="1" applyFont="1" applyFill="1" applyBorder="1" applyAlignment="1" applyProtection="1">
      <alignment horizontal="center" vertical="center" wrapText="1"/>
    </xf>
    <xf numFmtId="0" fontId="102" fillId="41" borderId="108" xfId="0" applyNumberFormat="1" applyFont="1" applyFill="1" applyBorder="1" applyAlignment="1" applyProtection="1">
      <alignment horizontal="center" vertical="center" wrapText="1"/>
    </xf>
    <xf numFmtId="0" fontId="102" fillId="41" borderId="109" xfId="0" applyNumberFormat="1" applyFont="1" applyFill="1" applyBorder="1" applyAlignment="1" applyProtection="1">
      <alignment horizontal="center" vertical="center" wrapText="1"/>
    </xf>
    <xf numFmtId="0" fontId="18" fillId="0" borderId="77" xfId="0" applyNumberFormat="1" applyFont="1" applyFill="1" applyBorder="1" applyAlignment="1" applyProtection="1">
      <alignment horizontal="center" vertical="center"/>
    </xf>
    <xf numFmtId="0" fontId="18" fillId="0" borderId="3" xfId="0" applyNumberFormat="1" applyFont="1" applyFill="1" applyBorder="1" applyAlignment="1" applyProtection="1">
      <alignment horizontal="center" vertical="center"/>
    </xf>
    <xf numFmtId="0" fontId="18" fillId="0" borderId="76" xfId="0" applyNumberFormat="1" applyFont="1" applyFill="1" applyBorder="1" applyAlignment="1" applyProtection="1">
      <alignment horizontal="center" vertical="center"/>
    </xf>
    <xf numFmtId="0" fontId="99" fillId="41" borderId="107" xfId="0" applyNumberFormat="1" applyFont="1" applyFill="1" applyBorder="1" applyAlignment="1" applyProtection="1">
      <alignment horizontal="center" vertical="center"/>
    </xf>
    <xf numFmtId="0" fontId="99" fillId="41" borderId="108" xfId="0" applyNumberFormat="1" applyFont="1" applyFill="1" applyBorder="1" applyAlignment="1" applyProtection="1">
      <alignment horizontal="center" vertical="center"/>
    </xf>
    <xf numFmtId="0" fontId="99" fillId="41" borderId="109" xfId="0" applyNumberFormat="1" applyFont="1" applyFill="1" applyBorder="1" applyAlignment="1" applyProtection="1">
      <alignment horizontal="center" vertical="center"/>
    </xf>
    <xf numFmtId="0" fontId="18" fillId="0" borderId="58"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68" fillId="41" borderId="107" xfId="0" applyNumberFormat="1" applyFont="1" applyFill="1" applyBorder="1" applyAlignment="1" applyProtection="1">
      <alignment horizontal="center" vertical="center"/>
    </xf>
    <xf numFmtId="0" fontId="68" fillId="41" borderId="108" xfId="0" applyNumberFormat="1" applyFont="1" applyFill="1" applyBorder="1" applyAlignment="1" applyProtection="1">
      <alignment horizontal="center" vertical="center"/>
    </xf>
    <xf numFmtId="167" fontId="68" fillId="41" borderId="53" xfId="0" applyNumberFormat="1" applyFont="1" applyFill="1" applyBorder="1" applyAlignment="1" applyProtection="1">
      <alignment horizontal="center" vertical="center" wrapText="1"/>
    </xf>
    <xf numFmtId="0" fontId="68" fillId="41" borderId="109" xfId="0" applyNumberFormat="1" applyFont="1" applyFill="1" applyBorder="1" applyAlignment="1" applyProtection="1">
      <alignment horizontal="center" vertical="center"/>
    </xf>
    <xf numFmtId="2" fontId="102" fillId="0" borderId="118" xfId="0" applyNumberFormat="1" applyFont="1" applyFill="1" applyBorder="1" applyAlignment="1" applyProtection="1">
      <alignment horizontal="center" vertical="center" wrapText="1"/>
    </xf>
    <xf numFmtId="2" fontId="102" fillId="0" borderId="108" xfId="0" applyNumberFormat="1" applyFont="1" applyFill="1" applyBorder="1" applyAlignment="1" applyProtection="1">
      <alignment horizontal="center" vertical="center" wrapText="1"/>
    </xf>
    <xf numFmtId="2" fontId="102" fillId="0" borderId="109"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xf>
    <xf numFmtId="0" fontId="68" fillId="0" borderId="106"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xf>
    <xf numFmtId="0" fontId="68" fillId="0" borderId="108" xfId="0" applyNumberFormat="1" applyFont="1" applyFill="1" applyBorder="1" applyAlignment="1" applyProtection="1">
      <alignment horizontal="center" vertical="center" wrapText="1"/>
    </xf>
    <xf numFmtId="0" fontId="68" fillId="0" borderId="109" xfId="0" applyNumberFormat="1" applyFont="1" applyFill="1" applyBorder="1" applyAlignment="1" applyProtection="1">
      <alignment horizontal="center" vertical="center" wrapText="1"/>
    </xf>
    <xf numFmtId="0" fontId="18" fillId="0" borderId="108" xfId="0" applyNumberFormat="1" applyFont="1" applyFill="1" applyBorder="1" applyAlignment="1" applyProtection="1">
      <alignment horizontal="center" vertical="center"/>
    </xf>
    <xf numFmtId="0" fontId="18" fillId="0" borderId="109" xfId="0" applyNumberFormat="1" applyFont="1" applyFill="1" applyBorder="1" applyAlignment="1" applyProtection="1">
      <alignment horizontal="center" vertical="center"/>
    </xf>
    <xf numFmtId="167" fontId="68" fillId="41" borderId="107" xfId="0" applyNumberFormat="1" applyFont="1" applyFill="1" applyBorder="1" applyAlignment="1" applyProtection="1">
      <alignment horizontal="center" vertical="center" wrapText="1"/>
    </xf>
    <xf numFmtId="167" fontId="68" fillId="41" borderId="108" xfId="0" applyNumberFormat="1" applyFont="1" applyFill="1" applyBorder="1" applyAlignment="1" applyProtection="1">
      <alignment horizontal="center" vertical="center" wrapText="1"/>
    </xf>
    <xf numFmtId="167" fontId="68" fillId="41" borderId="109" xfId="0" applyNumberFormat="1" applyFont="1" applyFill="1" applyBorder="1" applyAlignment="1" applyProtection="1">
      <alignment horizontal="center" vertical="center" wrapText="1"/>
    </xf>
    <xf numFmtId="2" fontId="68" fillId="41" borderId="111" xfId="0" applyNumberFormat="1" applyFont="1" applyFill="1" applyBorder="1" applyAlignment="1" applyProtection="1">
      <alignment horizontal="center" vertical="center" wrapText="1"/>
    </xf>
    <xf numFmtId="2" fontId="68" fillId="41" borderId="39" xfId="0" applyNumberFormat="1" applyFont="1" applyFill="1" applyBorder="1" applyAlignment="1" applyProtection="1">
      <alignment horizontal="center" vertical="center" wrapText="1"/>
    </xf>
    <xf numFmtId="0" fontId="68" fillId="41" borderId="119" xfId="0" applyNumberFormat="1" applyFont="1" applyFill="1" applyBorder="1" applyAlignment="1" applyProtection="1">
      <alignment horizontal="center" vertical="center"/>
    </xf>
    <xf numFmtId="0" fontId="68" fillId="41" borderId="103" xfId="0" applyNumberFormat="1" applyFont="1" applyFill="1" applyBorder="1" applyAlignment="1" applyProtection="1">
      <alignment horizontal="center" vertical="center"/>
    </xf>
    <xf numFmtId="0" fontId="68" fillId="0" borderId="58" xfId="0" applyNumberFormat="1" applyFont="1" applyFill="1" applyBorder="1" applyAlignment="1" applyProtection="1">
      <alignment horizontal="center" vertical="center"/>
    </xf>
    <xf numFmtId="0" fontId="35" fillId="0" borderId="47" xfId="0" applyNumberFormat="1" applyFont="1" applyFill="1" applyBorder="1" applyAlignment="1" applyProtection="1">
      <alignment horizontal="center" vertical="center" wrapText="1"/>
    </xf>
    <xf numFmtId="0" fontId="35" fillId="0" borderId="48" xfId="0" applyNumberFormat="1" applyFont="1" applyFill="1" applyBorder="1" applyAlignment="1" applyProtection="1">
      <alignment horizontal="center" vertical="center" wrapText="1"/>
    </xf>
    <xf numFmtId="0" fontId="35" fillId="0" borderId="49" xfId="0" applyNumberFormat="1" applyFont="1" applyFill="1" applyBorder="1" applyAlignment="1" applyProtection="1">
      <alignment horizontal="center" vertical="center" wrapText="1"/>
    </xf>
    <xf numFmtId="167" fontId="18" fillId="0" borderId="3" xfId="0" applyNumberFormat="1" applyFont="1" applyFill="1" applyBorder="1" applyAlignment="1" applyProtection="1">
      <alignment horizontal="center" vertical="center" wrapText="1"/>
    </xf>
    <xf numFmtId="0" fontId="68" fillId="0" borderId="37" xfId="0" applyNumberFormat="1" applyFont="1" applyFill="1" applyBorder="1" applyAlignment="1" applyProtection="1">
      <alignment horizontal="center" vertical="center" wrapText="1"/>
    </xf>
    <xf numFmtId="0" fontId="68" fillId="0" borderId="111" xfId="0" applyNumberFormat="1" applyFont="1" applyFill="1" applyBorder="1" applyAlignment="1" applyProtection="1">
      <alignment horizontal="center" vertical="center" wrapText="1"/>
    </xf>
    <xf numFmtId="0" fontId="68" fillId="0" borderId="54" xfId="0" applyNumberFormat="1" applyFont="1" applyFill="1" applyBorder="1" applyAlignment="1" applyProtection="1">
      <alignment horizontal="center" vertical="center" wrapText="1"/>
    </xf>
    <xf numFmtId="167" fontId="18" fillId="0" borderId="118" xfId="0" quotePrefix="1" applyNumberFormat="1" applyFont="1" applyFill="1" applyBorder="1" applyAlignment="1" applyProtection="1">
      <alignment horizontal="left" vertical="center" wrapText="1"/>
    </xf>
    <xf numFmtId="167" fontId="18" fillId="0" borderId="106" xfId="0" quotePrefix="1" applyNumberFormat="1" applyFont="1" applyFill="1" applyBorder="1" applyAlignment="1" applyProtection="1">
      <alignment horizontal="left" vertical="center" wrapText="1"/>
    </xf>
    <xf numFmtId="0" fontId="68" fillId="0" borderId="119" xfId="0" applyNumberFormat="1" applyFont="1" applyFill="1" applyBorder="1" applyAlignment="1" applyProtection="1">
      <alignment horizontal="center" vertical="center"/>
    </xf>
    <xf numFmtId="0" fontId="68" fillId="0" borderId="102" xfId="0" applyNumberFormat="1" applyFont="1" applyFill="1" applyBorder="1" applyAlignment="1" applyProtection="1">
      <alignment horizontal="center" vertical="center"/>
    </xf>
    <xf numFmtId="0" fontId="68" fillId="0" borderId="103" xfId="0" applyNumberFormat="1" applyFont="1" applyFill="1" applyBorder="1" applyAlignment="1" applyProtection="1">
      <alignment horizontal="center" vertical="center"/>
    </xf>
    <xf numFmtId="0" fontId="68" fillId="0" borderId="77" xfId="0" applyNumberFormat="1" applyFont="1" applyFill="1" applyBorder="1" applyAlignment="1" applyProtection="1">
      <alignment horizontal="center" vertical="center"/>
    </xf>
    <xf numFmtId="0" fontId="68" fillId="0" borderId="3" xfId="0" applyNumberFormat="1" applyFont="1" applyFill="1" applyBorder="1" applyAlignment="1" applyProtection="1">
      <alignment horizontal="center" vertical="center"/>
    </xf>
    <xf numFmtId="0" fontId="68" fillId="0" borderId="76" xfId="0" applyNumberFormat="1" applyFont="1" applyFill="1" applyBorder="1" applyAlignment="1" applyProtection="1">
      <alignment horizontal="center" vertical="center"/>
    </xf>
    <xf numFmtId="0" fontId="18" fillId="0" borderId="117" xfId="0" applyNumberFormat="1" applyFont="1" applyFill="1" applyBorder="1" applyAlignment="1" applyProtection="1">
      <alignment horizontal="center" vertical="center"/>
    </xf>
    <xf numFmtId="0" fontId="18" fillId="0" borderId="114" xfId="0" applyNumberFormat="1" applyFont="1" applyFill="1" applyBorder="1" applyAlignment="1" applyProtection="1">
      <alignment horizontal="center" vertical="center"/>
    </xf>
    <xf numFmtId="0" fontId="9" fillId="0" borderId="33" xfId="0" applyFont="1" applyBorder="1" applyAlignment="1">
      <alignment horizontal="left" vertical="center" wrapText="1"/>
    </xf>
    <xf numFmtId="0" fontId="9" fillId="0" borderId="34" xfId="0" applyFont="1" applyBorder="1" applyAlignment="1">
      <alignment horizontal="left" vertical="center" wrapText="1"/>
    </xf>
    <xf numFmtId="0" fontId="9" fillId="0" borderId="40" xfId="0" applyFont="1" applyBorder="1" applyAlignment="1">
      <alignment horizontal="center" vertical="center" wrapText="1"/>
    </xf>
    <xf numFmtId="0" fontId="9" fillId="0" borderId="51"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51" xfId="0" applyFont="1" applyBorder="1" applyAlignment="1">
      <alignment horizontal="left" vertical="center" wrapText="1"/>
    </xf>
    <xf numFmtId="0" fontId="83" fillId="36" borderId="50" xfId="0" applyFont="1" applyFill="1" applyBorder="1" applyAlignment="1">
      <alignment horizontal="center" vertical="center"/>
    </xf>
    <xf numFmtId="0" fontId="83" fillId="36" borderId="51" xfId="0" applyFont="1" applyFill="1" applyBorder="1" applyAlignment="1">
      <alignment horizontal="center" vertical="center"/>
    </xf>
    <xf numFmtId="0" fontId="81" fillId="37" borderId="50" xfId="0" applyFont="1" applyFill="1" applyBorder="1" applyAlignment="1">
      <alignment horizontal="center" vertical="center" wrapText="1"/>
    </xf>
    <xf numFmtId="0" fontId="81" fillId="37" borderId="40" xfId="0" applyFont="1" applyFill="1" applyBorder="1" applyAlignment="1">
      <alignment horizontal="center" vertical="center" wrapText="1"/>
    </xf>
    <xf numFmtId="0" fontId="81" fillId="37" borderId="51" xfId="0" applyFont="1" applyFill="1" applyBorder="1" applyAlignment="1">
      <alignment horizontal="center" vertical="center" wrapText="1"/>
    </xf>
    <xf numFmtId="0" fontId="82" fillId="38" borderId="50" xfId="0" applyFont="1" applyFill="1" applyBorder="1" applyAlignment="1">
      <alignment horizontal="center" vertical="center"/>
    </xf>
    <xf numFmtId="0" fontId="82" fillId="38" borderId="40" xfId="0" applyFont="1" applyFill="1" applyBorder="1" applyAlignment="1">
      <alignment horizontal="center" vertical="center"/>
    </xf>
    <xf numFmtId="0" fontId="82" fillId="38" borderId="51" xfId="0" applyFont="1" applyFill="1" applyBorder="1" applyAlignment="1">
      <alignment horizontal="center" vertical="center"/>
    </xf>
    <xf numFmtId="0" fontId="82" fillId="38" borderId="115" xfId="0" applyFont="1" applyFill="1" applyBorder="1" applyAlignment="1">
      <alignment horizontal="center" vertical="center"/>
    </xf>
    <xf numFmtId="0" fontId="82" fillId="38" borderId="113" xfId="0" applyFont="1" applyFill="1" applyBorder="1" applyAlignment="1">
      <alignment horizontal="center" vertical="center"/>
    </xf>
    <xf numFmtId="0" fontId="82" fillId="38" borderId="114" xfId="0" applyFont="1" applyFill="1" applyBorder="1" applyAlignment="1">
      <alignment horizontal="center" vertical="center"/>
    </xf>
    <xf numFmtId="0" fontId="18" fillId="0" borderId="34" xfId="0" applyFont="1" applyBorder="1" applyAlignment="1">
      <alignment horizontal="left" vertical="top" wrapText="1"/>
    </xf>
    <xf numFmtId="0" fontId="18" fillId="0" borderId="36" xfId="0" applyFont="1" applyBorder="1" applyAlignment="1">
      <alignment horizontal="left" vertical="top" wrapText="1"/>
    </xf>
    <xf numFmtId="0" fontId="80" fillId="43" borderId="50" xfId="0" applyFont="1" applyFill="1" applyBorder="1" applyAlignment="1">
      <alignment horizontal="center"/>
    </xf>
    <xf numFmtId="0" fontId="80" fillId="43" borderId="40" xfId="0" applyFont="1" applyFill="1" applyBorder="1" applyAlignment="1">
      <alignment horizontal="center"/>
    </xf>
    <xf numFmtId="0" fontId="80" fillId="43" borderId="51" xfId="0" applyFont="1" applyFill="1" applyBorder="1" applyAlignment="1">
      <alignment horizontal="center"/>
    </xf>
    <xf numFmtId="0" fontId="24" fillId="33" borderId="24" xfId="0" applyFont="1" applyFill="1" applyBorder="1" applyAlignment="1">
      <alignment horizontal="center" wrapText="1"/>
    </xf>
    <xf numFmtId="0" fontId="16" fillId="33" borderId="40" xfId="0" applyFont="1" applyFill="1" applyBorder="1"/>
    <xf numFmtId="0" fontId="16" fillId="33" borderId="51" xfId="0" applyFont="1" applyFill="1" applyBorder="1"/>
    <xf numFmtId="0" fontId="24" fillId="33" borderId="50" xfId="0" applyFont="1" applyFill="1" applyBorder="1" applyAlignment="1">
      <alignment horizontal="center" wrapText="1"/>
    </xf>
    <xf numFmtId="0" fontId="24" fillId="33" borderId="40" xfId="0" applyFont="1" applyFill="1" applyBorder="1" applyAlignment="1">
      <alignment horizontal="center" wrapText="1"/>
    </xf>
    <xf numFmtId="0" fontId="24" fillId="33" borderId="51" xfId="0" applyFont="1" applyFill="1" applyBorder="1" applyAlignment="1">
      <alignment horizont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1" fillId="3" borderId="89" xfId="0" applyFont="1" applyFill="1" applyBorder="1" applyAlignment="1">
      <alignment vertical="center" wrapText="1"/>
    </xf>
    <xf numFmtId="0" fontId="21" fillId="3" borderId="90" xfId="0" applyFont="1" applyFill="1" applyBorder="1" applyAlignment="1">
      <alignment vertical="center" wrapText="1"/>
    </xf>
    <xf numFmtId="0" fontId="89" fillId="3" borderId="50" xfId="0" applyFont="1" applyFill="1" applyBorder="1" applyAlignment="1">
      <alignment vertical="center" wrapText="1"/>
    </xf>
    <xf numFmtId="0" fontId="89" fillId="3" borderId="51" xfId="0" applyFont="1" applyFill="1" applyBorder="1" applyAlignment="1">
      <alignment vertical="center" wrapText="1"/>
    </xf>
    <xf numFmtId="0" fontId="18" fillId="0" borderId="35" xfId="0" applyFont="1" applyBorder="1" applyAlignment="1">
      <alignment horizontal="left" vertical="top" wrapText="1"/>
    </xf>
    <xf numFmtId="0" fontId="18" fillId="0" borderId="51" xfId="0" applyFont="1" applyBorder="1" applyAlignment="1">
      <alignment horizontal="left" vertical="top" wrapText="1"/>
    </xf>
    <xf numFmtId="0" fontId="66" fillId="5" borderId="0" xfId="0" applyFont="1" applyFill="1" applyAlignment="1">
      <alignment horizontal="center"/>
    </xf>
    <xf numFmtId="0" fontId="66" fillId="5" borderId="0" xfId="0" applyFont="1" applyFill="1" applyAlignment="1">
      <alignment horizontal="left" vertical="center"/>
    </xf>
    <xf numFmtId="0" fontId="0" fillId="40" borderId="4" xfId="0" applyFont="1" applyFill="1" applyBorder="1" applyAlignment="1">
      <alignment horizontal="left" vertical="center"/>
    </xf>
    <xf numFmtId="0" fontId="0" fillId="40" borderId="4" xfId="0" applyFont="1" applyFill="1" applyBorder="1" applyAlignment="1">
      <alignment horizontal="left" vertical="center" wrapText="1"/>
    </xf>
    <xf numFmtId="175" fontId="0" fillId="40" borderId="4" xfId="0" applyNumberFormat="1" applyFont="1" applyFill="1" applyBorder="1" applyAlignment="1">
      <alignment horizontal="left" vertical="center"/>
    </xf>
  </cellXfs>
  <cellStyles count="66">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Bad" xfId="30" xr:uid="{00000000-0005-0000-0000-000018000000}"/>
    <cellStyle name="Calculation" xfId="31" xr:uid="{00000000-0005-0000-0000-000019000000}"/>
    <cellStyle name="Cálculo 2" xfId="32" xr:uid="{00000000-0005-0000-0000-00001A000000}"/>
    <cellStyle name="Check Cell" xfId="33" xr:uid="{00000000-0005-0000-0000-00001B000000}"/>
    <cellStyle name="Entrada 2" xfId="34" xr:uid="{00000000-0005-0000-0000-00001C000000}"/>
    <cellStyle name="Excel Built-in Normal" xfId="4" xr:uid="{00000000-0005-0000-0000-00001D000000}"/>
    <cellStyle name="Explanatory Text" xfId="35" xr:uid="{00000000-0005-0000-0000-00001E000000}"/>
    <cellStyle name="Good" xfId="36" xr:uid="{00000000-0005-0000-0000-00001F000000}"/>
    <cellStyle name="Heading 1" xfId="37" xr:uid="{00000000-0005-0000-0000-000020000000}"/>
    <cellStyle name="Heading 2" xfId="38" xr:uid="{00000000-0005-0000-0000-000021000000}"/>
    <cellStyle name="Heading 3" xfId="39" xr:uid="{00000000-0005-0000-0000-000022000000}"/>
    <cellStyle name="Heading 4" xfId="40" xr:uid="{00000000-0005-0000-0000-000023000000}"/>
    <cellStyle name="Hiperlink" xfId="56" builtinId="8"/>
    <cellStyle name="Incorreto 2" xfId="41" xr:uid="{00000000-0005-0000-0000-000025000000}"/>
    <cellStyle name="Input" xfId="42" xr:uid="{00000000-0005-0000-0000-000026000000}"/>
    <cellStyle name="Linked Cell" xfId="43" xr:uid="{00000000-0005-0000-0000-000027000000}"/>
    <cellStyle name="Moeda 2 10" xfId="62" xr:uid="{C9EE5F05-1DA6-42BE-BFBA-CADCDF578DCE}"/>
    <cellStyle name="Moeda 2 2 14" xfId="60" xr:uid="{2D296684-1D1D-45CB-A57E-63291AB85542}"/>
    <cellStyle name="Moeda 4" xfId="59" xr:uid="{D29CD5DC-591E-4DB9-B644-AA910054D632}"/>
    <cellStyle name="Neutral" xfId="44" xr:uid="{00000000-0005-0000-0000-000028000000}"/>
    <cellStyle name="Normal" xfId="0" builtinId="0"/>
    <cellStyle name="Normal 2" xfId="3" xr:uid="{00000000-0005-0000-0000-00002A000000}"/>
    <cellStyle name="Normal 2 2" xfId="63" xr:uid="{93D48E1C-5810-4B35-A787-0600C60328D8}"/>
    <cellStyle name="Normal 3" xfId="64" xr:uid="{D42A7453-1C0B-46F1-9319-01DA34686156}"/>
    <cellStyle name="Normal 4" xfId="55" xr:uid="{00000000-0005-0000-0000-00002B000000}"/>
    <cellStyle name="Normal 5 2 2" xfId="57" xr:uid="{44BBE01A-14A4-4408-8A3C-963FCB085ECC}"/>
    <cellStyle name="Normal_Pesquisa no referencial 10 de maio de 2013" xfId="5" xr:uid="{00000000-0005-0000-0000-00002C000000}"/>
    <cellStyle name="Nota 2" xfId="45" xr:uid="{00000000-0005-0000-0000-00002D000000}"/>
    <cellStyle name="Note" xfId="46" xr:uid="{00000000-0005-0000-0000-00002E000000}"/>
    <cellStyle name="Output" xfId="47" xr:uid="{00000000-0005-0000-0000-00002F000000}"/>
    <cellStyle name="Porcentagem" xfId="2" builtinId="5"/>
    <cellStyle name="Porcentagem 2 2" xfId="65" xr:uid="{7719FAEB-1E3D-4BF9-B085-CAA175D7273B}"/>
    <cellStyle name="Porcentagem 3 2 2" xfId="58" xr:uid="{4979A883-1BE4-44ED-BCAD-FA596A6FAABD}"/>
    <cellStyle name="Saída 2" xfId="48" xr:uid="{00000000-0005-0000-0000-000031000000}"/>
    <cellStyle name="Texto de Aviso 2" xfId="49" xr:uid="{00000000-0005-0000-0000-000032000000}"/>
    <cellStyle name="Texto Explicativo 2" xfId="50" xr:uid="{00000000-0005-0000-0000-000033000000}"/>
    <cellStyle name="Title" xfId="51" xr:uid="{00000000-0005-0000-0000-000034000000}"/>
    <cellStyle name="Título 2" xfId="52" xr:uid="{00000000-0005-0000-0000-000035000000}"/>
    <cellStyle name="Total 2" xfId="53" xr:uid="{00000000-0005-0000-0000-000036000000}"/>
    <cellStyle name="Vírgula" xfId="1" builtinId="3"/>
    <cellStyle name="Vírgula 3 2 2" xfId="61" xr:uid="{508559D0-34AD-4578-921E-1989F029A0BD}"/>
    <cellStyle name="Warning Text" xfId="54" xr:uid="{00000000-0005-0000-0000-000038000000}"/>
  </cellStyles>
  <dxfs count="22">
    <dxf>
      <font>
        <color rgb="FF9C0006"/>
      </font>
      <fill>
        <patternFill>
          <bgColor rgb="FFFFC7CE"/>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923925</xdr:colOff>
      <xdr:row>0</xdr:row>
      <xdr:rowOff>57150</xdr:rowOff>
    </xdr:from>
    <xdr:to>
      <xdr:col>3</xdr:col>
      <xdr:colOff>742950</xdr:colOff>
      <xdr:row>5</xdr:row>
      <xdr:rowOff>140798</xdr:rowOff>
    </xdr:to>
    <xdr:pic>
      <xdr:nvPicPr>
        <xdr:cNvPr id="2" name="Imagem 1">
          <a:extLst>
            <a:ext uri="{FF2B5EF4-FFF2-40B4-BE49-F238E27FC236}">
              <a16:creationId xmlns:a16="http://schemas.microsoft.com/office/drawing/2014/main" id="{AFB17F9E-6C9B-4E83-9DD7-B41A9A4745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925" y="57150"/>
          <a:ext cx="5791200" cy="1188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323850</xdr:colOff>
      <xdr:row>7</xdr:row>
      <xdr:rowOff>95250</xdr:rowOff>
    </xdr:from>
    <xdr:to>
      <xdr:col>5</xdr:col>
      <xdr:colOff>227982</xdr:colOff>
      <xdr:row>7</xdr:row>
      <xdr:rowOff>1295400</xdr:rowOff>
    </xdr:to>
    <xdr:pic>
      <xdr:nvPicPr>
        <xdr:cNvPr id="2" name="Imagem 1">
          <a:extLst>
            <a:ext uri="{FF2B5EF4-FFF2-40B4-BE49-F238E27FC236}">
              <a16:creationId xmlns:a16="http://schemas.microsoft.com/office/drawing/2014/main" id="{433E847A-F03C-4595-9C9D-D954F1454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5075" y="180975"/>
          <a:ext cx="5847732" cy="120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13</xdr:row>
      <xdr:rowOff>87630</xdr:rowOff>
    </xdr:from>
    <xdr:to>
      <xdr:col>9</xdr:col>
      <xdr:colOff>0</xdr:colOff>
      <xdr:row>13</xdr:row>
      <xdr:rowOff>87630</xdr:rowOff>
    </xdr:to>
    <xdr:cxnSp macro="">
      <xdr:nvCxnSpPr>
        <xdr:cNvPr id="2" name="Conector reto 2">
          <a:extLst>
            <a:ext uri="{FF2B5EF4-FFF2-40B4-BE49-F238E27FC236}">
              <a16:creationId xmlns:a16="http://schemas.microsoft.com/office/drawing/2014/main" id="{612E27C5-C699-4C06-82A4-629D34107A85}"/>
            </a:ext>
          </a:extLst>
        </xdr:cNvPr>
        <xdr:cNvCxnSpPr/>
      </xdr:nvCxnSpPr>
      <xdr:spPr>
        <a:xfrm>
          <a:off x="104775" y="4450080"/>
          <a:ext cx="74580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xdr:row>
      <xdr:rowOff>87630</xdr:rowOff>
    </xdr:from>
    <xdr:to>
      <xdr:col>9</xdr:col>
      <xdr:colOff>0</xdr:colOff>
      <xdr:row>24</xdr:row>
      <xdr:rowOff>87630</xdr:rowOff>
    </xdr:to>
    <xdr:cxnSp macro="">
      <xdr:nvCxnSpPr>
        <xdr:cNvPr id="3" name="Conector reto 2">
          <a:extLst>
            <a:ext uri="{FF2B5EF4-FFF2-40B4-BE49-F238E27FC236}">
              <a16:creationId xmlns:a16="http://schemas.microsoft.com/office/drawing/2014/main" id="{C5FD5284-0413-481D-9F5B-DBCC5951F1E1}"/>
            </a:ext>
          </a:extLst>
        </xdr:cNvPr>
        <xdr:cNvCxnSpPr/>
      </xdr:nvCxnSpPr>
      <xdr:spPr>
        <a:xfrm>
          <a:off x="104775" y="30975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32</xdr:row>
      <xdr:rowOff>87630</xdr:rowOff>
    </xdr:from>
    <xdr:to>
      <xdr:col>9</xdr:col>
      <xdr:colOff>0</xdr:colOff>
      <xdr:row>32</xdr:row>
      <xdr:rowOff>87630</xdr:rowOff>
    </xdr:to>
    <xdr:cxnSp macro="">
      <xdr:nvCxnSpPr>
        <xdr:cNvPr id="4" name="Conector reto 3">
          <a:extLst>
            <a:ext uri="{FF2B5EF4-FFF2-40B4-BE49-F238E27FC236}">
              <a16:creationId xmlns:a16="http://schemas.microsoft.com/office/drawing/2014/main" id="{8B9244CA-6F97-4153-89B1-8D871C0E95D2}"/>
            </a:ext>
          </a:extLst>
        </xdr:cNvPr>
        <xdr:cNvCxnSpPr/>
      </xdr:nvCxnSpPr>
      <xdr:spPr>
        <a:xfrm>
          <a:off x="104775" y="59169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40</xdr:row>
      <xdr:rowOff>87630</xdr:rowOff>
    </xdr:from>
    <xdr:to>
      <xdr:col>9</xdr:col>
      <xdr:colOff>0</xdr:colOff>
      <xdr:row>40</xdr:row>
      <xdr:rowOff>87630</xdr:rowOff>
    </xdr:to>
    <xdr:cxnSp macro="">
      <xdr:nvCxnSpPr>
        <xdr:cNvPr id="5" name="Conector reto 4">
          <a:extLst>
            <a:ext uri="{FF2B5EF4-FFF2-40B4-BE49-F238E27FC236}">
              <a16:creationId xmlns:a16="http://schemas.microsoft.com/office/drawing/2014/main" id="{511DA629-D277-4B14-8D76-5A22ED52FA02}"/>
            </a:ext>
          </a:extLst>
        </xdr:cNvPr>
        <xdr:cNvCxnSpPr/>
      </xdr:nvCxnSpPr>
      <xdr:spPr>
        <a:xfrm>
          <a:off x="104775" y="59169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46</xdr:row>
      <xdr:rowOff>87630</xdr:rowOff>
    </xdr:from>
    <xdr:to>
      <xdr:col>9</xdr:col>
      <xdr:colOff>0</xdr:colOff>
      <xdr:row>46</xdr:row>
      <xdr:rowOff>87630</xdr:rowOff>
    </xdr:to>
    <xdr:cxnSp macro="">
      <xdr:nvCxnSpPr>
        <xdr:cNvPr id="6" name="Conector reto 5">
          <a:extLst>
            <a:ext uri="{FF2B5EF4-FFF2-40B4-BE49-F238E27FC236}">
              <a16:creationId xmlns:a16="http://schemas.microsoft.com/office/drawing/2014/main" id="{558C8D8F-DF8B-4046-BD89-D0CA2C15ED03}"/>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59</xdr:row>
      <xdr:rowOff>87630</xdr:rowOff>
    </xdr:from>
    <xdr:to>
      <xdr:col>9</xdr:col>
      <xdr:colOff>0</xdr:colOff>
      <xdr:row>59</xdr:row>
      <xdr:rowOff>87630</xdr:rowOff>
    </xdr:to>
    <xdr:cxnSp macro="">
      <xdr:nvCxnSpPr>
        <xdr:cNvPr id="7" name="Conector reto 6">
          <a:extLst>
            <a:ext uri="{FF2B5EF4-FFF2-40B4-BE49-F238E27FC236}">
              <a16:creationId xmlns:a16="http://schemas.microsoft.com/office/drawing/2014/main" id="{0F3E38C3-89C6-4790-B392-4AC06E093CBE}"/>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74</xdr:row>
      <xdr:rowOff>87630</xdr:rowOff>
    </xdr:from>
    <xdr:to>
      <xdr:col>9</xdr:col>
      <xdr:colOff>0</xdr:colOff>
      <xdr:row>74</xdr:row>
      <xdr:rowOff>87630</xdr:rowOff>
    </xdr:to>
    <xdr:cxnSp macro="">
      <xdr:nvCxnSpPr>
        <xdr:cNvPr id="8" name="Conector reto 7">
          <a:extLst>
            <a:ext uri="{FF2B5EF4-FFF2-40B4-BE49-F238E27FC236}">
              <a16:creationId xmlns:a16="http://schemas.microsoft.com/office/drawing/2014/main" id="{48125B3C-894C-4489-9234-CDFB051B8305}"/>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97</xdr:row>
      <xdr:rowOff>87630</xdr:rowOff>
    </xdr:from>
    <xdr:to>
      <xdr:col>9</xdr:col>
      <xdr:colOff>0</xdr:colOff>
      <xdr:row>97</xdr:row>
      <xdr:rowOff>87630</xdr:rowOff>
    </xdr:to>
    <xdr:cxnSp macro="">
      <xdr:nvCxnSpPr>
        <xdr:cNvPr id="9" name="Conector reto 8">
          <a:extLst>
            <a:ext uri="{FF2B5EF4-FFF2-40B4-BE49-F238E27FC236}">
              <a16:creationId xmlns:a16="http://schemas.microsoft.com/office/drawing/2014/main" id="{2ECC006F-01D2-40EA-854A-B096E60DD297}"/>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177</xdr:row>
      <xdr:rowOff>87630</xdr:rowOff>
    </xdr:from>
    <xdr:to>
      <xdr:col>9</xdr:col>
      <xdr:colOff>0</xdr:colOff>
      <xdr:row>177</xdr:row>
      <xdr:rowOff>87630</xdr:rowOff>
    </xdr:to>
    <xdr:cxnSp macro="">
      <xdr:nvCxnSpPr>
        <xdr:cNvPr id="10" name="Conector reto 9">
          <a:extLst>
            <a:ext uri="{FF2B5EF4-FFF2-40B4-BE49-F238E27FC236}">
              <a16:creationId xmlns:a16="http://schemas.microsoft.com/office/drawing/2014/main" id="{8607261C-598C-433E-ACDA-8BBFE2F0FFA8}"/>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223</xdr:row>
      <xdr:rowOff>87630</xdr:rowOff>
    </xdr:from>
    <xdr:to>
      <xdr:col>9</xdr:col>
      <xdr:colOff>0</xdr:colOff>
      <xdr:row>223</xdr:row>
      <xdr:rowOff>87630</xdr:rowOff>
    </xdr:to>
    <xdr:cxnSp macro="">
      <xdr:nvCxnSpPr>
        <xdr:cNvPr id="11" name="Conector reto 10">
          <a:extLst>
            <a:ext uri="{FF2B5EF4-FFF2-40B4-BE49-F238E27FC236}">
              <a16:creationId xmlns:a16="http://schemas.microsoft.com/office/drawing/2014/main" id="{E52B388C-2A80-4C15-93A0-603A7A88700C}"/>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270</xdr:row>
      <xdr:rowOff>87630</xdr:rowOff>
    </xdr:from>
    <xdr:to>
      <xdr:col>9</xdr:col>
      <xdr:colOff>0</xdr:colOff>
      <xdr:row>270</xdr:row>
      <xdr:rowOff>87630</xdr:rowOff>
    </xdr:to>
    <xdr:cxnSp macro="">
      <xdr:nvCxnSpPr>
        <xdr:cNvPr id="12" name="Conector reto 11">
          <a:extLst>
            <a:ext uri="{FF2B5EF4-FFF2-40B4-BE49-F238E27FC236}">
              <a16:creationId xmlns:a16="http://schemas.microsoft.com/office/drawing/2014/main" id="{94EACF0A-3CA0-49B5-9B15-AF4FEAE22520}"/>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348</xdr:row>
      <xdr:rowOff>87630</xdr:rowOff>
    </xdr:from>
    <xdr:to>
      <xdr:col>9</xdr:col>
      <xdr:colOff>0</xdr:colOff>
      <xdr:row>348</xdr:row>
      <xdr:rowOff>87630</xdr:rowOff>
    </xdr:to>
    <xdr:cxnSp macro="">
      <xdr:nvCxnSpPr>
        <xdr:cNvPr id="13" name="Conector reto 12">
          <a:extLst>
            <a:ext uri="{FF2B5EF4-FFF2-40B4-BE49-F238E27FC236}">
              <a16:creationId xmlns:a16="http://schemas.microsoft.com/office/drawing/2014/main" id="{17808908-B2F8-49F2-A4FD-679D2F74BF32}"/>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360</xdr:row>
      <xdr:rowOff>87630</xdr:rowOff>
    </xdr:from>
    <xdr:to>
      <xdr:col>9</xdr:col>
      <xdr:colOff>0</xdr:colOff>
      <xdr:row>360</xdr:row>
      <xdr:rowOff>87630</xdr:rowOff>
    </xdr:to>
    <xdr:cxnSp macro="">
      <xdr:nvCxnSpPr>
        <xdr:cNvPr id="14" name="Conector reto 13">
          <a:extLst>
            <a:ext uri="{FF2B5EF4-FFF2-40B4-BE49-F238E27FC236}">
              <a16:creationId xmlns:a16="http://schemas.microsoft.com/office/drawing/2014/main" id="{C7271C9D-CBA5-4365-8D2D-C1A38318FE97}"/>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370</xdr:row>
      <xdr:rowOff>87630</xdr:rowOff>
    </xdr:from>
    <xdr:to>
      <xdr:col>9</xdr:col>
      <xdr:colOff>0</xdr:colOff>
      <xdr:row>370</xdr:row>
      <xdr:rowOff>87630</xdr:rowOff>
    </xdr:to>
    <xdr:cxnSp macro="">
      <xdr:nvCxnSpPr>
        <xdr:cNvPr id="15" name="Conector reto 14">
          <a:extLst>
            <a:ext uri="{FF2B5EF4-FFF2-40B4-BE49-F238E27FC236}">
              <a16:creationId xmlns:a16="http://schemas.microsoft.com/office/drawing/2014/main" id="{BACDCEBF-D369-4279-92FB-2E029E735C1C}"/>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391</xdr:row>
      <xdr:rowOff>87630</xdr:rowOff>
    </xdr:from>
    <xdr:to>
      <xdr:col>9</xdr:col>
      <xdr:colOff>0</xdr:colOff>
      <xdr:row>391</xdr:row>
      <xdr:rowOff>87630</xdr:rowOff>
    </xdr:to>
    <xdr:cxnSp macro="">
      <xdr:nvCxnSpPr>
        <xdr:cNvPr id="17" name="Conector reto 16">
          <a:extLst>
            <a:ext uri="{FF2B5EF4-FFF2-40B4-BE49-F238E27FC236}">
              <a16:creationId xmlns:a16="http://schemas.microsoft.com/office/drawing/2014/main" id="{F4093116-B74F-4DC3-8F48-8E5086C3D2A3}"/>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397</xdr:row>
      <xdr:rowOff>87630</xdr:rowOff>
    </xdr:from>
    <xdr:to>
      <xdr:col>9</xdr:col>
      <xdr:colOff>0</xdr:colOff>
      <xdr:row>397</xdr:row>
      <xdr:rowOff>87630</xdr:rowOff>
    </xdr:to>
    <xdr:cxnSp macro="">
      <xdr:nvCxnSpPr>
        <xdr:cNvPr id="18" name="Conector reto 17">
          <a:extLst>
            <a:ext uri="{FF2B5EF4-FFF2-40B4-BE49-F238E27FC236}">
              <a16:creationId xmlns:a16="http://schemas.microsoft.com/office/drawing/2014/main" id="{C65EC590-489A-4B62-A3CE-011C6124511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402</xdr:row>
      <xdr:rowOff>87630</xdr:rowOff>
    </xdr:from>
    <xdr:to>
      <xdr:col>9</xdr:col>
      <xdr:colOff>0</xdr:colOff>
      <xdr:row>402</xdr:row>
      <xdr:rowOff>87630</xdr:rowOff>
    </xdr:to>
    <xdr:cxnSp macro="">
      <xdr:nvCxnSpPr>
        <xdr:cNvPr id="19" name="Conector reto 18">
          <a:extLst>
            <a:ext uri="{FF2B5EF4-FFF2-40B4-BE49-F238E27FC236}">
              <a16:creationId xmlns:a16="http://schemas.microsoft.com/office/drawing/2014/main" id="{371AD160-2E87-4713-85BA-000AE98BB098}"/>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416</xdr:row>
      <xdr:rowOff>87630</xdr:rowOff>
    </xdr:from>
    <xdr:to>
      <xdr:col>9</xdr:col>
      <xdr:colOff>0</xdr:colOff>
      <xdr:row>416</xdr:row>
      <xdr:rowOff>87630</xdr:rowOff>
    </xdr:to>
    <xdr:cxnSp macro="">
      <xdr:nvCxnSpPr>
        <xdr:cNvPr id="20" name="Conector reto 19">
          <a:extLst>
            <a:ext uri="{FF2B5EF4-FFF2-40B4-BE49-F238E27FC236}">
              <a16:creationId xmlns:a16="http://schemas.microsoft.com/office/drawing/2014/main" id="{6A595F1D-BF08-4C8F-B5D4-A87CAABAB55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427</xdr:row>
      <xdr:rowOff>87630</xdr:rowOff>
    </xdr:from>
    <xdr:to>
      <xdr:col>9</xdr:col>
      <xdr:colOff>0</xdr:colOff>
      <xdr:row>427</xdr:row>
      <xdr:rowOff>87630</xdr:rowOff>
    </xdr:to>
    <xdr:cxnSp macro="">
      <xdr:nvCxnSpPr>
        <xdr:cNvPr id="21" name="Conector reto 20">
          <a:extLst>
            <a:ext uri="{FF2B5EF4-FFF2-40B4-BE49-F238E27FC236}">
              <a16:creationId xmlns:a16="http://schemas.microsoft.com/office/drawing/2014/main" id="{7D3ED91C-ADF6-4336-B3EB-D5EEEFDE0B0B}"/>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436</xdr:row>
      <xdr:rowOff>87630</xdr:rowOff>
    </xdr:from>
    <xdr:to>
      <xdr:col>9</xdr:col>
      <xdr:colOff>0</xdr:colOff>
      <xdr:row>436</xdr:row>
      <xdr:rowOff>87630</xdr:rowOff>
    </xdr:to>
    <xdr:cxnSp macro="">
      <xdr:nvCxnSpPr>
        <xdr:cNvPr id="22" name="Conector reto 21">
          <a:extLst>
            <a:ext uri="{FF2B5EF4-FFF2-40B4-BE49-F238E27FC236}">
              <a16:creationId xmlns:a16="http://schemas.microsoft.com/office/drawing/2014/main" id="{B6703E10-2075-4F61-A124-40D0CAB1D79B}"/>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445</xdr:row>
      <xdr:rowOff>87630</xdr:rowOff>
    </xdr:from>
    <xdr:to>
      <xdr:col>9</xdr:col>
      <xdr:colOff>0</xdr:colOff>
      <xdr:row>445</xdr:row>
      <xdr:rowOff>87630</xdr:rowOff>
    </xdr:to>
    <xdr:cxnSp macro="">
      <xdr:nvCxnSpPr>
        <xdr:cNvPr id="23" name="Conector reto 22">
          <a:extLst>
            <a:ext uri="{FF2B5EF4-FFF2-40B4-BE49-F238E27FC236}">
              <a16:creationId xmlns:a16="http://schemas.microsoft.com/office/drawing/2014/main" id="{3738A79F-3CB7-4BD5-BC9A-3FB7172E2E79}"/>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454</xdr:row>
      <xdr:rowOff>87630</xdr:rowOff>
    </xdr:from>
    <xdr:to>
      <xdr:col>9</xdr:col>
      <xdr:colOff>0</xdr:colOff>
      <xdr:row>454</xdr:row>
      <xdr:rowOff>87630</xdr:rowOff>
    </xdr:to>
    <xdr:cxnSp macro="">
      <xdr:nvCxnSpPr>
        <xdr:cNvPr id="24" name="Conector reto 23">
          <a:extLst>
            <a:ext uri="{FF2B5EF4-FFF2-40B4-BE49-F238E27FC236}">
              <a16:creationId xmlns:a16="http://schemas.microsoft.com/office/drawing/2014/main" id="{65B87375-D89F-46D6-94EA-6ECD3AE8992A}"/>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463</xdr:row>
      <xdr:rowOff>87630</xdr:rowOff>
    </xdr:from>
    <xdr:to>
      <xdr:col>9</xdr:col>
      <xdr:colOff>0</xdr:colOff>
      <xdr:row>463</xdr:row>
      <xdr:rowOff>87630</xdr:rowOff>
    </xdr:to>
    <xdr:cxnSp macro="">
      <xdr:nvCxnSpPr>
        <xdr:cNvPr id="25" name="Conector reto 24">
          <a:extLst>
            <a:ext uri="{FF2B5EF4-FFF2-40B4-BE49-F238E27FC236}">
              <a16:creationId xmlns:a16="http://schemas.microsoft.com/office/drawing/2014/main" id="{067C517F-C22D-4F18-BE1E-B933EA299312}"/>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472</xdr:row>
      <xdr:rowOff>87630</xdr:rowOff>
    </xdr:from>
    <xdr:to>
      <xdr:col>9</xdr:col>
      <xdr:colOff>0</xdr:colOff>
      <xdr:row>472</xdr:row>
      <xdr:rowOff>87630</xdr:rowOff>
    </xdr:to>
    <xdr:cxnSp macro="">
      <xdr:nvCxnSpPr>
        <xdr:cNvPr id="26" name="Conector reto 25">
          <a:extLst>
            <a:ext uri="{FF2B5EF4-FFF2-40B4-BE49-F238E27FC236}">
              <a16:creationId xmlns:a16="http://schemas.microsoft.com/office/drawing/2014/main" id="{E3F524C2-656A-4691-BDA9-1643969D9D0A}"/>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483</xdr:row>
      <xdr:rowOff>87630</xdr:rowOff>
    </xdr:from>
    <xdr:to>
      <xdr:col>9</xdr:col>
      <xdr:colOff>0</xdr:colOff>
      <xdr:row>483</xdr:row>
      <xdr:rowOff>87630</xdr:rowOff>
    </xdr:to>
    <xdr:cxnSp macro="">
      <xdr:nvCxnSpPr>
        <xdr:cNvPr id="27" name="Conector reto 26">
          <a:extLst>
            <a:ext uri="{FF2B5EF4-FFF2-40B4-BE49-F238E27FC236}">
              <a16:creationId xmlns:a16="http://schemas.microsoft.com/office/drawing/2014/main" id="{73133C6D-EA8D-493C-B83B-F77019C53C4C}"/>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489</xdr:row>
      <xdr:rowOff>87630</xdr:rowOff>
    </xdr:from>
    <xdr:to>
      <xdr:col>9</xdr:col>
      <xdr:colOff>0</xdr:colOff>
      <xdr:row>489</xdr:row>
      <xdr:rowOff>87630</xdr:rowOff>
    </xdr:to>
    <xdr:cxnSp macro="">
      <xdr:nvCxnSpPr>
        <xdr:cNvPr id="28" name="Conector reto 27">
          <a:extLst>
            <a:ext uri="{FF2B5EF4-FFF2-40B4-BE49-F238E27FC236}">
              <a16:creationId xmlns:a16="http://schemas.microsoft.com/office/drawing/2014/main" id="{46A4A0E3-6D5F-4FFB-81A2-593CFE4A426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500</xdr:row>
      <xdr:rowOff>87630</xdr:rowOff>
    </xdr:from>
    <xdr:to>
      <xdr:col>9</xdr:col>
      <xdr:colOff>0</xdr:colOff>
      <xdr:row>500</xdr:row>
      <xdr:rowOff>87630</xdr:rowOff>
    </xdr:to>
    <xdr:cxnSp macro="">
      <xdr:nvCxnSpPr>
        <xdr:cNvPr id="29" name="Conector reto 28">
          <a:extLst>
            <a:ext uri="{FF2B5EF4-FFF2-40B4-BE49-F238E27FC236}">
              <a16:creationId xmlns:a16="http://schemas.microsoft.com/office/drawing/2014/main" id="{2EB350F7-AADA-47B0-B542-37FC1305BCF0}"/>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510</xdr:row>
      <xdr:rowOff>87630</xdr:rowOff>
    </xdr:from>
    <xdr:to>
      <xdr:col>9</xdr:col>
      <xdr:colOff>0</xdr:colOff>
      <xdr:row>510</xdr:row>
      <xdr:rowOff>87630</xdr:rowOff>
    </xdr:to>
    <xdr:cxnSp macro="">
      <xdr:nvCxnSpPr>
        <xdr:cNvPr id="30" name="Conector reto 29">
          <a:extLst>
            <a:ext uri="{FF2B5EF4-FFF2-40B4-BE49-F238E27FC236}">
              <a16:creationId xmlns:a16="http://schemas.microsoft.com/office/drawing/2014/main" id="{951A2A58-6D52-4837-8606-F97FA13877EA}"/>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519</xdr:row>
      <xdr:rowOff>87630</xdr:rowOff>
    </xdr:from>
    <xdr:to>
      <xdr:col>9</xdr:col>
      <xdr:colOff>0</xdr:colOff>
      <xdr:row>519</xdr:row>
      <xdr:rowOff>87630</xdr:rowOff>
    </xdr:to>
    <xdr:cxnSp macro="">
      <xdr:nvCxnSpPr>
        <xdr:cNvPr id="31" name="Conector reto 30">
          <a:extLst>
            <a:ext uri="{FF2B5EF4-FFF2-40B4-BE49-F238E27FC236}">
              <a16:creationId xmlns:a16="http://schemas.microsoft.com/office/drawing/2014/main" id="{1D314087-4903-41EA-8EA2-247841F685C3}"/>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528</xdr:row>
      <xdr:rowOff>87630</xdr:rowOff>
    </xdr:from>
    <xdr:to>
      <xdr:col>9</xdr:col>
      <xdr:colOff>0</xdr:colOff>
      <xdr:row>528</xdr:row>
      <xdr:rowOff>87630</xdr:rowOff>
    </xdr:to>
    <xdr:cxnSp macro="">
      <xdr:nvCxnSpPr>
        <xdr:cNvPr id="32" name="Conector reto 31">
          <a:extLst>
            <a:ext uri="{FF2B5EF4-FFF2-40B4-BE49-F238E27FC236}">
              <a16:creationId xmlns:a16="http://schemas.microsoft.com/office/drawing/2014/main" id="{02E869AB-7F56-42A3-A99A-AEF740FEEE27}"/>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537</xdr:row>
      <xdr:rowOff>87630</xdr:rowOff>
    </xdr:from>
    <xdr:to>
      <xdr:col>9</xdr:col>
      <xdr:colOff>0</xdr:colOff>
      <xdr:row>537</xdr:row>
      <xdr:rowOff>87630</xdr:rowOff>
    </xdr:to>
    <xdr:cxnSp macro="">
      <xdr:nvCxnSpPr>
        <xdr:cNvPr id="33" name="Conector reto 32">
          <a:extLst>
            <a:ext uri="{FF2B5EF4-FFF2-40B4-BE49-F238E27FC236}">
              <a16:creationId xmlns:a16="http://schemas.microsoft.com/office/drawing/2014/main" id="{4D2B2EB9-46B9-4C42-8CB8-AC9CF99D9AE4}"/>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546</xdr:row>
      <xdr:rowOff>87630</xdr:rowOff>
    </xdr:from>
    <xdr:to>
      <xdr:col>9</xdr:col>
      <xdr:colOff>0</xdr:colOff>
      <xdr:row>546</xdr:row>
      <xdr:rowOff>87630</xdr:rowOff>
    </xdr:to>
    <xdr:cxnSp macro="">
      <xdr:nvCxnSpPr>
        <xdr:cNvPr id="34" name="Conector reto 33">
          <a:extLst>
            <a:ext uri="{FF2B5EF4-FFF2-40B4-BE49-F238E27FC236}">
              <a16:creationId xmlns:a16="http://schemas.microsoft.com/office/drawing/2014/main" id="{9D8D6EF7-A479-41DD-8A30-B32F3B066EF6}"/>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555</xdr:row>
      <xdr:rowOff>87630</xdr:rowOff>
    </xdr:from>
    <xdr:to>
      <xdr:col>9</xdr:col>
      <xdr:colOff>0</xdr:colOff>
      <xdr:row>555</xdr:row>
      <xdr:rowOff>87630</xdr:rowOff>
    </xdr:to>
    <xdr:cxnSp macro="">
      <xdr:nvCxnSpPr>
        <xdr:cNvPr id="35" name="Conector reto 34">
          <a:extLst>
            <a:ext uri="{FF2B5EF4-FFF2-40B4-BE49-F238E27FC236}">
              <a16:creationId xmlns:a16="http://schemas.microsoft.com/office/drawing/2014/main" id="{754C46D3-2C69-4878-886D-EE656F6B0D90}"/>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569</xdr:row>
      <xdr:rowOff>87630</xdr:rowOff>
    </xdr:from>
    <xdr:to>
      <xdr:col>9</xdr:col>
      <xdr:colOff>0</xdr:colOff>
      <xdr:row>569</xdr:row>
      <xdr:rowOff>87630</xdr:rowOff>
    </xdr:to>
    <xdr:cxnSp macro="">
      <xdr:nvCxnSpPr>
        <xdr:cNvPr id="36" name="Conector reto 35">
          <a:extLst>
            <a:ext uri="{FF2B5EF4-FFF2-40B4-BE49-F238E27FC236}">
              <a16:creationId xmlns:a16="http://schemas.microsoft.com/office/drawing/2014/main" id="{47E3F53D-6795-43E2-B3FC-BF5FE9765BF7}"/>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581</xdr:row>
      <xdr:rowOff>87630</xdr:rowOff>
    </xdr:from>
    <xdr:to>
      <xdr:col>9</xdr:col>
      <xdr:colOff>0</xdr:colOff>
      <xdr:row>581</xdr:row>
      <xdr:rowOff>87630</xdr:rowOff>
    </xdr:to>
    <xdr:cxnSp macro="">
      <xdr:nvCxnSpPr>
        <xdr:cNvPr id="37" name="Conector reto 36">
          <a:extLst>
            <a:ext uri="{FF2B5EF4-FFF2-40B4-BE49-F238E27FC236}">
              <a16:creationId xmlns:a16="http://schemas.microsoft.com/office/drawing/2014/main" id="{19E85CA9-C402-4C6C-9032-A1423FF24D54}"/>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590</xdr:row>
      <xdr:rowOff>87630</xdr:rowOff>
    </xdr:from>
    <xdr:to>
      <xdr:col>9</xdr:col>
      <xdr:colOff>0</xdr:colOff>
      <xdr:row>590</xdr:row>
      <xdr:rowOff>87630</xdr:rowOff>
    </xdr:to>
    <xdr:cxnSp macro="">
      <xdr:nvCxnSpPr>
        <xdr:cNvPr id="38" name="Conector reto 37">
          <a:extLst>
            <a:ext uri="{FF2B5EF4-FFF2-40B4-BE49-F238E27FC236}">
              <a16:creationId xmlns:a16="http://schemas.microsoft.com/office/drawing/2014/main" id="{602CD255-1089-4C25-AE11-CB7EA023BDC0}"/>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599</xdr:row>
      <xdr:rowOff>87630</xdr:rowOff>
    </xdr:from>
    <xdr:to>
      <xdr:col>9</xdr:col>
      <xdr:colOff>0</xdr:colOff>
      <xdr:row>599</xdr:row>
      <xdr:rowOff>87630</xdr:rowOff>
    </xdr:to>
    <xdr:cxnSp macro="">
      <xdr:nvCxnSpPr>
        <xdr:cNvPr id="39" name="Conector reto 38">
          <a:extLst>
            <a:ext uri="{FF2B5EF4-FFF2-40B4-BE49-F238E27FC236}">
              <a16:creationId xmlns:a16="http://schemas.microsoft.com/office/drawing/2014/main" id="{ADE06B83-D762-4804-AF37-FAA1F6C019A4}"/>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610</xdr:row>
      <xdr:rowOff>87630</xdr:rowOff>
    </xdr:from>
    <xdr:to>
      <xdr:col>9</xdr:col>
      <xdr:colOff>0</xdr:colOff>
      <xdr:row>610</xdr:row>
      <xdr:rowOff>87630</xdr:rowOff>
    </xdr:to>
    <xdr:cxnSp macro="">
      <xdr:nvCxnSpPr>
        <xdr:cNvPr id="40" name="Conector reto 39">
          <a:extLst>
            <a:ext uri="{FF2B5EF4-FFF2-40B4-BE49-F238E27FC236}">
              <a16:creationId xmlns:a16="http://schemas.microsoft.com/office/drawing/2014/main" id="{CCF54115-8002-4D3C-986D-9481BA5C0C0E}"/>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619</xdr:row>
      <xdr:rowOff>87630</xdr:rowOff>
    </xdr:from>
    <xdr:to>
      <xdr:col>9</xdr:col>
      <xdr:colOff>0</xdr:colOff>
      <xdr:row>619</xdr:row>
      <xdr:rowOff>87630</xdr:rowOff>
    </xdr:to>
    <xdr:cxnSp macro="">
      <xdr:nvCxnSpPr>
        <xdr:cNvPr id="41" name="Conector reto 40">
          <a:extLst>
            <a:ext uri="{FF2B5EF4-FFF2-40B4-BE49-F238E27FC236}">
              <a16:creationId xmlns:a16="http://schemas.microsoft.com/office/drawing/2014/main" id="{A35ED35A-14D3-41BB-968D-B675D6E4CD7E}"/>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628</xdr:row>
      <xdr:rowOff>87630</xdr:rowOff>
    </xdr:from>
    <xdr:to>
      <xdr:col>9</xdr:col>
      <xdr:colOff>0</xdr:colOff>
      <xdr:row>628</xdr:row>
      <xdr:rowOff>87630</xdr:rowOff>
    </xdr:to>
    <xdr:cxnSp macro="">
      <xdr:nvCxnSpPr>
        <xdr:cNvPr id="42" name="Conector reto 41">
          <a:extLst>
            <a:ext uri="{FF2B5EF4-FFF2-40B4-BE49-F238E27FC236}">
              <a16:creationId xmlns:a16="http://schemas.microsoft.com/office/drawing/2014/main" id="{6B57F5D8-0E69-45CC-944A-49BCFDBB9F1B}"/>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638</xdr:row>
      <xdr:rowOff>87630</xdr:rowOff>
    </xdr:from>
    <xdr:to>
      <xdr:col>9</xdr:col>
      <xdr:colOff>0</xdr:colOff>
      <xdr:row>638</xdr:row>
      <xdr:rowOff>87630</xdr:rowOff>
    </xdr:to>
    <xdr:cxnSp macro="">
      <xdr:nvCxnSpPr>
        <xdr:cNvPr id="43" name="Conector reto 42">
          <a:extLst>
            <a:ext uri="{FF2B5EF4-FFF2-40B4-BE49-F238E27FC236}">
              <a16:creationId xmlns:a16="http://schemas.microsoft.com/office/drawing/2014/main" id="{A16FC126-905E-4AE1-A14A-97C6A655012D}"/>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646</xdr:row>
      <xdr:rowOff>87630</xdr:rowOff>
    </xdr:from>
    <xdr:to>
      <xdr:col>9</xdr:col>
      <xdr:colOff>0</xdr:colOff>
      <xdr:row>646</xdr:row>
      <xdr:rowOff>87630</xdr:rowOff>
    </xdr:to>
    <xdr:cxnSp macro="">
      <xdr:nvCxnSpPr>
        <xdr:cNvPr id="44" name="Conector reto 43">
          <a:extLst>
            <a:ext uri="{FF2B5EF4-FFF2-40B4-BE49-F238E27FC236}">
              <a16:creationId xmlns:a16="http://schemas.microsoft.com/office/drawing/2014/main" id="{59705524-C914-48AA-895D-81ADF5E83E09}"/>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658</xdr:row>
      <xdr:rowOff>87630</xdr:rowOff>
    </xdr:from>
    <xdr:to>
      <xdr:col>9</xdr:col>
      <xdr:colOff>0</xdr:colOff>
      <xdr:row>658</xdr:row>
      <xdr:rowOff>87630</xdr:rowOff>
    </xdr:to>
    <xdr:cxnSp macro="">
      <xdr:nvCxnSpPr>
        <xdr:cNvPr id="45" name="Conector reto 44">
          <a:extLst>
            <a:ext uri="{FF2B5EF4-FFF2-40B4-BE49-F238E27FC236}">
              <a16:creationId xmlns:a16="http://schemas.microsoft.com/office/drawing/2014/main" id="{0858A9E3-928A-4A3F-AAFB-B63B90F1AD07}"/>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670</xdr:row>
      <xdr:rowOff>87630</xdr:rowOff>
    </xdr:from>
    <xdr:to>
      <xdr:col>9</xdr:col>
      <xdr:colOff>0</xdr:colOff>
      <xdr:row>670</xdr:row>
      <xdr:rowOff>87630</xdr:rowOff>
    </xdr:to>
    <xdr:cxnSp macro="">
      <xdr:nvCxnSpPr>
        <xdr:cNvPr id="46" name="Conector reto 45">
          <a:extLst>
            <a:ext uri="{FF2B5EF4-FFF2-40B4-BE49-F238E27FC236}">
              <a16:creationId xmlns:a16="http://schemas.microsoft.com/office/drawing/2014/main" id="{52413DC4-AD0B-4909-AA67-E2589E3DE1FD}"/>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682</xdr:row>
      <xdr:rowOff>87630</xdr:rowOff>
    </xdr:from>
    <xdr:to>
      <xdr:col>9</xdr:col>
      <xdr:colOff>0</xdr:colOff>
      <xdr:row>682</xdr:row>
      <xdr:rowOff>87630</xdr:rowOff>
    </xdr:to>
    <xdr:cxnSp macro="">
      <xdr:nvCxnSpPr>
        <xdr:cNvPr id="47" name="Conector reto 46">
          <a:extLst>
            <a:ext uri="{FF2B5EF4-FFF2-40B4-BE49-F238E27FC236}">
              <a16:creationId xmlns:a16="http://schemas.microsoft.com/office/drawing/2014/main" id="{773F5F6D-14C2-4A2F-AF72-8D6BC06F2750}"/>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694</xdr:row>
      <xdr:rowOff>87630</xdr:rowOff>
    </xdr:from>
    <xdr:to>
      <xdr:col>9</xdr:col>
      <xdr:colOff>0</xdr:colOff>
      <xdr:row>694</xdr:row>
      <xdr:rowOff>87630</xdr:rowOff>
    </xdr:to>
    <xdr:cxnSp macro="">
      <xdr:nvCxnSpPr>
        <xdr:cNvPr id="48" name="Conector reto 47">
          <a:extLst>
            <a:ext uri="{FF2B5EF4-FFF2-40B4-BE49-F238E27FC236}">
              <a16:creationId xmlns:a16="http://schemas.microsoft.com/office/drawing/2014/main" id="{4D342EEA-CD32-41FA-8635-ECAE19F07B9F}"/>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704</xdr:row>
      <xdr:rowOff>87630</xdr:rowOff>
    </xdr:from>
    <xdr:to>
      <xdr:col>9</xdr:col>
      <xdr:colOff>0</xdr:colOff>
      <xdr:row>704</xdr:row>
      <xdr:rowOff>87630</xdr:rowOff>
    </xdr:to>
    <xdr:cxnSp macro="">
      <xdr:nvCxnSpPr>
        <xdr:cNvPr id="49" name="Conector reto 48">
          <a:extLst>
            <a:ext uri="{FF2B5EF4-FFF2-40B4-BE49-F238E27FC236}">
              <a16:creationId xmlns:a16="http://schemas.microsoft.com/office/drawing/2014/main" id="{7D707A68-213E-4984-BE8D-EFF906054437}"/>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714</xdr:row>
      <xdr:rowOff>87630</xdr:rowOff>
    </xdr:from>
    <xdr:to>
      <xdr:col>9</xdr:col>
      <xdr:colOff>0</xdr:colOff>
      <xdr:row>714</xdr:row>
      <xdr:rowOff>87630</xdr:rowOff>
    </xdr:to>
    <xdr:cxnSp macro="">
      <xdr:nvCxnSpPr>
        <xdr:cNvPr id="50" name="Conector reto 49">
          <a:extLst>
            <a:ext uri="{FF2B5EF4-FFF2-40B4-BE49-F238E27FC236}">
              <a16:creationId xmlns:a16="http://schemas.microsoft.com/office/drawing/2014/main" id="{A06697BC-3853-4645-B6EA-EB6B5F9FC349}"/>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719</xdr:row>
      <xdr:rowOff>87630</xdr:rowOff>
    </xdr:from>
    <xdr:to>
      <xdr:col>9</xdr:col>
      <xdr:colOff>0</xdr:colOff>
      <xdr:row>719</xdr:row>
      <xdr:rowOff>87630</xdr:rowOff>
    </xdr:to>
    <xdr:cxnSp macro="">
      <xdr:nvCxnSpPr>
        <xdr:cNvPr id="51" name="Conector reto 50">
          <a:extLst>
            <a:ext uri="{FF2B5EF4-FFF2-40B4-BE49-F238E27FC236}">
              <a16:creationId xmlns:a16="http://schemas.microsoft.com/office/drawing/2014/main" id="{2E0AC8BE-C04F-44E7-92AA-D412D9AFDA61}"/>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726</xdr:row>
      <xdr:rowOff>87630</xdr:rowOff>
    </xdr:from>
    <xdr:to>
      <xdr:col>9</xdr:col>
      <xdr:colOff>0</xdr:colOff>
      <xdr:row>726</xdr:row>
      <xdr:rowOff>87630</xdr:rowOff>
    </xdr:to>
    <xdr:cxnSp macro="">
      <xdr:nvCxnSpPr>
        <xdr:cNvPr id="52" name="Conector reto 51">
          <a:extLst>
            <a:ext uri="{FF2B5EF4-FFF2-40B4-BE49-F238E27FC236}">
              <a16:creationId xmlns:a16="http://schemas.microsoft.com/office/drawing/2014/main" id="{7DD394DB-4883-47F1-8AC9-1C8D7745BDD5}"/>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733</xdr:row>
      <xdr:rowOff>87630</xdr:rowOff>
    </xdr:from>
    <xdr:to>
      <xdr:col>9</xdr:col>
      <xdr:colOff>0</xdr:colOff>
      <xdr:row>733</xdr:row>
      <xdr:rowOff>87630</xdr:rowOff>
    </xdr:to>
    <xdr:cxnSp macro="">
      <xdr:nvCxnSpPr>
        <xdr:cNvPr id="53" name="Conector reto 52">
          <a:extLst>
            <a:ext uri="{FF2B5EF4-FFF2-40B4-BE49-F238E27FC236}">
              <a16:creationId xmlns:a16="http://schemas.microsoft.com/office/drawing/2014/main" id="{6A7837AD-29EA-4D1B-96FA-C57FE22B56D0}"/>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742</xdr:row>
      <xdr:rowOff>87630</xdr:rowOff>
    </xdr:from>
    <xdr:to>
      <xdr:col>9</xdr:col>
      <xdr:colOff>0</xdr:colOff>
      <xdr:row>742</xdr:row>
      <xdr:rowOff>87630</xdr:rowOff>
    </xdr:to>
    <xdr:cxnSp macro="">
      <xdr:nvCxnSpPr>
        <xdr:cNvPr id="54" name="Conector reto 53">
          <a:extLst>
            <a:ext uri="{FF2B5EF4-FFF2-40B4-BE49-F238E27FC236}">
              <a16:creationId xmlns:a16="http://schemas.microsoft.com/office/drawing/2014/main" id="{6AB42794-FCF5-4510-9D90-A871EE872422}"/>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751</xdr:row>
      <xdr:rowOff>87630</xdr:rowOff>
    </xdr:from>
    <xdr:to>
      <xdr:col>9</xdr:col>
      <xdr:colOff>0</xdr:colOff>
      <xdr:row>751</xdr:row>
      <xdr:rowOff>87630</xdr:rowOff>
    </xdr:to>
    <xdr:cxnSp macro="">
      <xdr:nvCxnSpPr>
        <xdr:cNvPr id="55" name="Conector reto 54">
          <a:extLst>
            <a:ext uri="{FF2B5EF4-FFF2-40B4-BE49-F238E27FC236}">
              <a16:creationId xmlns:a16="http://schemas.microsoft.com/office/drawing/2014/main" id="{29DB647D-B2ED-46A9-AB78-2FD44AEB58E4}"/>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760</xdr:row>
      <xdr:rowOff>87630</xdr:rowOff>
    </xdr:from>
    <xdr:to>
      <xdr:col>9</xdr:col>
      <xdr:colOff>0</xdr:colOff>
      <xdr:row>760</xdr:row>
      <xdr:rowOff>87630</xdr:rowOff>
    </xdr:to>
    <xdr:cxnSp macro="">
      <xdr:nvCxnSpPr>
        <xdr:cNvPr id="56" name="Conector reto 55">
          <a:extLst>
            <a:ext uri="{FF2B5EF4-FFF2-40B4-BE49-F238E27FC236}">
              <a16:creationId xmlns:a16="http://schemas.microsoft.com/office/drawing/2014/main" id="{83F826DF-FDEA-4B70-912D-8EAB5B633BB8}"/>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769</xdr:row>
      <xdr:rowOff>87630</xdr:rowOff>
    </xdr:from>
    <xdr:to>
      <xdr:col>9</xdr:col>
      <xdr:colOff>0</xdr:colOff>
      <xdr:row>769</xdr:row>
      <xdr:rowOff>87630</xdr:rowOff>
    </xdr:to>
    <xdr:cxnSp macro="">
      <xdr:nvCxnSpPr>
        <xdr:cNvPr id="57" name="Conector reto 56">
          <a:extLst>
            <a:ext uri="{FF2B5EF4-FFF2-40B4-BE49-F238E27FC236}">
              <a16:creationId xmlns:a16="http://schemas.microsoft.com/office/drawing/2014/main" id="{8CABDB5D-D865-4AA1-8669-C168E6278A53}"/>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776</xdr:row>
      <xdr:rowOff>87630</xdr:rowOff>
    </xdr:from>
    <xdr:to>
      <xdr:col>9</xdr:col>
      <xdr:colOff>0</xdr:colOff>
      <xdr:row>776</xdr:row>
      <xdr:rowOff>87630</xdr:rowOff>
    </xdr:to>
    <xdr:cxnSp macro="">
      <xdr:nvCxnSpPr>
        <xdr:cNvPr id="58" name="Conector reto 57">
          <a:extLst>
            <a:ext uri="{FF2B5EF4-FFF2-40B4-BE49-F238E27FC236}">
              <a16:creationId xmlns:a16="http://schemas.microsoft.com/office/drawing/2014/main" id="{9BE0158A-1868-4B5F-A7C1-9D88DD55E566}"/>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783</xdr:row>
      <xdr:rowOff>87630</xdr:rowOff>
    </xdr:from>
    <xdr:to>
      <xdr:col>9</xdr:col>
      <xdr:colOff>0</xdr:colOff>
      <xdr:row>783</xdr:row>
      <xdr:rowOff>87630</xdr:rowOff>
    </xdr:to>
    <xdr:cxnSp macro="">
      <xdr:nvCxnSpPr>
        <xdr:cNvPr id="59" name="Conector reto 58">
          <a:extLst>
            <a:ext uri="{FF2B5EF4-FFF2-40B4-BE49-F238E27FC236}">
              <a16:creationId xmlns:a16="http://schemas.microsoft.com/office/drawing/2014/main" id="{35C21869-B802-40E9-B60E-92AB866B7200}"/>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790</xdr:row>
      <xdr:rowOff>87630</xdr:rowOff>
    </xdr:from>
    <xdr:to>
      <xdr:col>9</xdr:col>
      <xdr:colOff>0</xdr:colOff>
      <xdr:row>790</xdr:row>
      <xdr:rowOff>87630</xdr:rowOff>
    </xdr:to>
    <xdr:cxnSp macro="">
      <xdr:nvCxnSpPr>
        <xdr:cNvPr id="60" name="Conector reto 59">
          <a:extLst>
            <a:ext uri="{FF2B5EF4-FFF2-40B4-BE49-F238E27FC236}">
              <a16:creationId xmlns:a16="http://schemas.microsoft.com/office/drawing/2014/main" id="{F70C9940-F9C2-4FC4-9414-892B9285C0B3}"/>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797</xdr:row>
      <xdr:rowOff>87630</xdr:rowOff>
    </xdr:from>
    <xdr:to>
      <xdr:col>9</xdr:col>
      <xdr:colOff>0</xdr:colOff>
      <xdr:row>797</xdr:row>
      <xdr:rowOff>87630</xdr:rowOff>
    </xdr:to>
    <xdr:cxnSp macro="">
      <xdr:nvCxnSpPr>
        <xdr:cNvPr id="61" name="Conector reto 60">
          <a:extLst>
            <a:ext uri="{FF2B5EF4-FFF2-40B4-BE49-F238E27FC236}">
              <a16:creationId xmlns:a16="http://schemas.microsoft.com/office/drawing/2014/main" id="{4C60F21D-46C9-42B0-8915-58898705294C}"/>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804</xdr:row>
      <xdr:rowOff>87630</xdr:rowOff>
    </xdr:from>
    <xdr:to>
      <xdr:col>9</xdr:col>
      <xdr:colOff>0</xdr:colOff>
      <xdr:row>804</xdr:row>
      <xdr:rowOff>87630</xdr:rowOff>
    </xdr:to>
    <xdr:cxnSp macro="">
      <xdr:nvCxnSpPr>
        <xdr:cNvPr id="62" name="Conector reto 61">
          <a:extLst>
            <a:ext uri="{FF2B5EF4-FFF2-40B4-BE49-F238E27FC236}">
              <a16:creationId xmlns:a16="http://schemas.microsoft.com/office/drawing/2014/main" id="{E774C6D8-C966-4D2C-9457-D0BEADB84CC4}"/>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813</xdr:row>
      <xdr:rowOff>87630</xdr:rowOff>
    </xdr:from>
    <xdr:to>
      <xdr:col>9</xdr:col>
      <xdr:colOff>0</xdr:colOff>
      <xdr:row>813</xdr:row>
      <xdr:rowOff>87630</xdr:rowOff>
    </xdr:to>
    <xdr:cxnSp macro="">
      <xdr:nvCxnSpPr>
        <xdr:cNvPr id="63" name="Conector reto 62">
          <a:extLst>
            <a:ext uri="{FF2B5EF4-FFF2-40B4-BE49-F238E27FC236}">
              <a16:creationId xmlns:a16="http://schemas.microsoft.com/office/drawing/2014/main" id="{4030F7A8-A2E3-4E56-ABD3-CE51C0B68240}"/>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820</xdr:row>
      <xdr:rowOff>87630</xdr:rowOff>
    </xdr:from>
    <xdr:to>
      <xdr:col>9</xdr:col>
      <xdr:colOff>0</xdr:colOff>
      <xdr:row>820</xdr:row>
      <xdr:rowOff>87630</xdr:rowOff>
    </xdr:to>
    <xdr:cxnSp macro="">
      <xdr:nvCxnSpPr>
        <xdr:cNvPr id="64" name="Conector reto 63">
          <a:extLst>
            <a:ext uri="{FF2B5EF4-FFF2-40B4-BE49-F238E27FC236}">
              <a16:creationId xmlns:a16="http://schemas.microsoft.com/office/drawing/2014/main" id="{ECE006EA-85F8-4B50-8F07-FCAE8BEC5E52}"/>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827</xdr:row>
      <xdr:rowOff>87630</xdr:rowOff>
    </xdr:from>
    <xdr:to>
      <xdr:col>9</xdr:col>
      <xdr:colOff>0</xdr:colOff>
      <xdr:row>827</xdr:row>
      <xdr:rowOff>87630</xdr:rowOff>
    </xdr:to>
    <xdr:cxnSp macro="">
      <xdr:nvCxnSpPr>
        <xdr:cNvPr id="65" name="Conector reto 64">
          <a:extLst>
            <a:ext uri="{FF2B5EF4-FFF2-40B4-BE49-F238E27FC236}">
              <a16:creationId xmlns:a16="http://schemas.microsoft.com/office/drawing/2014/main" id="{18142F9A-A0C7-4294-9C43-885FF3447E4B}"/>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836</xdr:row>
      <xdr:rowOff>87630</xdr:rowOff>
    </xdr:from>
    <xdr:to>
      <xdr:col>9</xdr:col>
      <xdr:colOff>0</xdr:colOff>
      <xdr:row>836</xdr:row>
      <xdr:rowOff>87630</xdr:rowOff>
    </xdr:to>
    <xdr:cxnSp macro="">
      <xdr:nvCxnSpPr>
        <xdr:cNvPr id="66" name="Conector reto 65">
          <a:extLst>
            <a:ext uri="{FF2B5EF4-FFF2-40B4-BE49-F238E27FC236}">
              <a16:creationId xmlns:a16="http://schemas.microsoft.com/office/drawing/2014/main" id="{AF84274F-F377-48CB-B529-EE830C6AA839}"/>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845</xdr:row>
      <xdr:rowOff>87630</xdr:rowOff>
    </xdr:from>
    <xdr:to>
      <xdr:col>9</xdr:col>
      <xdr:colOff>0</xdr:colOff>
      <xdr:row>845</xdr:row>
      <xdr:rowOff>87630</xdr:rowOff>
    </xdr:to>
    <xdr:cxnSp macro="">
      <xdr:nvCxnSpPr>
        <xdr:cNvPr id="67" name="Conector reto 66">
          <a:extLst>
            <a:ext uri="{FF2B5EF4-FFF2-40B4-BE49-F238E27FC236}">
              <a16:creationId xmlns:a16="http://schemas.microsoft.com/office/drawing/2014/main" id="{27A52927-1CA6-4BE0-ABB2-D4F94DB7F71D}"/>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851</xdr:row>
      <xdr:rowOff>87630</xdr:rowOff>
    </xdr:from>
    <xdr:to>
      <xdr:col>9</xdr:col>
      <xdr:colOff>0</xdr:colOff>
      <xdr:row>851</xdr:row>
      <xdr:rowOff>87630</xdr:rowOff>
    </xdr:to>
    <xdr:cxnSp macro="">
      <xdr:nvCxnSpPr>
        <xdr:cNvPr id="68" name="Conector reto 67">
          <a:extLst>
            <a:ext uri="{FF2B5EF4-FFF2-40B4-BE49-F238E27FC236}">
              <a16:creationId xmlns:a16="http://schemas.microsoft.com/office/drawing/2014/main" id="{036F0D01-6001-45DF-9ECB-328D24F38CDD}"/>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859</xdr:row>
      <xdr:rowOff>87630</xdr:rowOff>
    </xdr:from>
    <xdr:to>
      <xdr:col>9</xdr:col>
      <xdr:colOff>0</xdr:colOff>
      <xdr:row>859</xdr:row>
      <xdr:rowOff>87630</xdr:rowOff>
    </xdr:to>
    <xdr:cxnSp macro="">
      <xdr:nvCxnSpPr>
        <xdr:cNvPr id="69" name="Conector reto 68">
          <a:extLst>
            <a:ext uri="{FF2B5EF4-FFF2-40B4-BE49-F238E27FC236}">
              <a16:creationId xmlns:a16="http://schemas.microsoft.com/office/drawing/2014/main" id="{842BD007-C6DF-4B7A-B109-D5D421C7F562}"/>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864</xdr:row>
      <xdr:rowOff>87630</xdr:rowOff>
    </xdr:from>
    <xdr:to>
      <xdr:col>9</xdr:col>
      <xdr:colOff>0</xdr:colOff>
      <xdr:row>864</xdr:row>
      <xdr:rowOff>87630</xdr:rowOff>
    </xdr:to>
    <xdr:cxnSp macro="">
      <xdr:nvCxnSpPr>
        <xdr:cNvPr id="70" name="Conector reto 69">
          <a:extLst>
            <a:ext uri="{FF2B5EF4-FFF2-40B4-BE49-F238E27FC236}">
              <a16:creationId xmlns:a16="http://schemas.microsoft.com/office/drawing/2014/main" id="{CC29B280-FD83-423E-8EEB-498A7A5EE561}"/>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874</xdr:row>
      <xdr:rowOff>87630</xdr:rowOff>
    </xdr:from>
    <xdr:to>
      <xdr:col>9</xdr:col>
      <xdr:colOff>0</xdr:colOff>
      <xdr:row>874</xdr:row>
      <xdr:rowOff>87630</xdr:rowOff>
    </xdr:to>
    <xdr:cxnSp macro="">
      <xdr:nvCxnSpPr>
        <xdr:cNvPr id="71" name="Conector reto 70">
          <a:extLst>
            <a:ext uri="{FF2B5EF4-FFF2-40B4-BE49-F238E27FC236}">
              <a16:creationId xmlns:a16="http://schemas.microsoft.com/office/drawing/2014/main" id="{A5665590-B13B-4D49-A65D-6BB1C6FFE902}"/>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882</xdr:row>
      <xdr:rowOff>87630</xdr:rowOff>
    </xdr:from>
    <xdr:to>
      <xdr:col>9</xdr:col>
      <xdr:colOff>0</xdr:colOff>
      <xdr:row>882</xdr:row>
      <xdr:rowOff>87630</xdr:rowOff>
    </xdr:to>
    <xdr:cxnSp macro="">
      <xdr:nvCxnSpPr>
        <xdr:cNvPr id="72" name="Conector reto 71">
          <a:extLst>
            <a:ext uri="{FF2B5EF4-FFF2-40B4-BE49-F238E27FC236}">
              <a16:creationId xmlns:a16="http://schemas.microsoft.com/office/drawing/2014/main" id="{4A823B90-686A-459B-A426-EFBC693D7AAC}"/>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890</xdr:row>
      <xdr:rowOff>87630</xdr:rowOff>
    </xdr:from>
    <xdr:to>
      <xdr:col>9</xdr:col>
      <xdr:colOff>0</xdr:colOff>
      <xdr:row>890</xdr:row>
      <xdr:rowOff>87630</xdr:rowOff>
    </xdr:to>
    <xdr:cxnSp macro="">
      <xdr:nvCxnSpPr>
        <xdr:cNvPr id="73" name="Conector reto 72">
          <a:extLst>
            <a:ext uri="{FF2B5EF4-FFF2-40B4-BE49-F238E27FC236}">
              <a16:creationId xmlns:a16="http://schemas.microsoft.com/office/drawing/2014/main" id="{BBC70887-C4F4-473B-9F0C-5A74AC713811}"/>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900</xdr:row>
      <xdr:rowOff>87630</xdr:rowOff>
    </xdr:from>
    <xdr:to>
      <xdr:col>9</xdr:col>
      <xdr:colOff>0</xdr:colOff>
      <xdr:row>900</xdr:row>
      <xdr:rowOff>87630</xdr:rowOff>
    </xdr:to>
    <xdr:cxnSp macro="">
      <xdr:nvCxnSpPr>
        <xdr:cNvPr id="74" name="Conector reto 73">
          <a:extLst>
            <a:ext uri="{FF2B5EF4-FFF2-40B4-BE49-F238E27FC236}">
              <a16:creationId xmlns:a16="http://schemas.microsoft.com/office/drawing/2014/main" id="{AD08730D-E4E3-4548-86DD-A4FD10AFFA50}"/>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909</xdr:row>
      <xdr:rowOff>87630</xdr:rowOff>
    </xdr:from>
    <xdr:to>
      <xdr:col>9</xdr:col>
      <xdr:colOff>0</xdr:colOff>
      <xdr:row>909</xdr:row>
      <xdr:rowOff>87630</xdr:rowOff>
    </xdr:to>
    <xdr:cxnSp macro="">
      <xdr:nvCxnSpPr>
        <xdr:cNvPr id="75" name="Conector reto 74">
          <a:extLst>
            <a:ext uri="{FF2B5EF4-FFF2-40B4-BE49-F238E27FC236}">
              <a16:creationId xmlns:a16="http://schemas.microsoft.com/office/drawing/2014/main" id="{DE44A1EE-101C-4295-9531-6DA5E1C51D95}"/>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918</xdr:row>
      <xdr:rowOff>87630</xdr:rowOff>
    </xdr:from>
    <xdr:to>
      <xdr:col>9</xdr:col>
      <xdr:colOff>0</xdr:colOff>
      <xdr:row>918</xdr:row>
      <xdr:rowOff>87630</xdr:rowOff>
    </xdr:to>
    <xdr:cxnSp macro="">
      <xdr:nvCxnSpPr>
        <xdr:cNvPr id="76" name="Conector reto 75">
          <a:extLst>
            <a:ext uri="{FF2B5EF4-FFF2-40B4-BE49-F238E27FC236}">
              <a16:creationId xmlns:a16="http://schemas.microsoft.com/office/drawing/2014/main" id="{F964ADBD-1975-4E76-B579-89E55BD1411E}"/>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923</xdr:row>
      <xdr:rowOff>87630</xdr:rowOff>
    </xdr:from>
    <xdr:to>
      <xdr:col>9</xdr:col>
      <xdr:colOff>0</xdr:colOff>
      <xdr:row>923</xdr:row>
      <xdr:rowOff>87630</xdr:rowOff>
    </xdr:to>
    <xdr:cxnSp macro="">
      <xdr:nvCxnSpPr>
        <xdr:cNvPr id="77" name="Conector reto 76">
          <a:extLst>
            <a:ext uri="{FF2B5EF4-FFF2-40B4-BE49-F238E27FC236}">
              <a16:creationId xmlns:a16="http://schemas.microsoft.com/office/drawing/2014/main" id="{51D8311A-BCA1-413A-9173-1AD08A235C84}"/>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929</xdr:row>
      <xdr:rowOff>87630</xdr:rowOff>
    </xdr:from>
    <xdr:to>
      <xdr:col>9</xdr:col>
      <xdr:colOff>0</xdr:colOff>
      <xdr:row>929</xdr:row>
      <xdr:rowOff>87630</xdr:rowOff>
    </xdr:to>
    <xdr:cxnSp macro="">
      <xdr:nvCxnSpPr>
        <xdr:cNvPr id="78" name="Conector reto 77">
          <a:extLst>
            <a:ext uri="{FF2B5EF4-FFF2-40B4-BE49-F238E27FC236}">
              <a16:creationId xmlns:a16="http://schemas.microsoft.com/office/drawing/2014/main" id="{8A6B9987-FCBF-4B54-8522-9663499E05E1}"/>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934</xdr:row>
      <xdr:rowOff>87630</xdr:rowOff>
    </xdr:from>
    <xdr:to>
      <xdr:col>9</xdr:col>
      <xdr:colOff>0</xdr:colOff>
      <xdr:row>934</xdr:row>
      <xdr:rowOff>87630</xdr:rowOff>
    </xdr:to>
    <xdr:cxnSp macro="">
      <xdr:nvCxnSpPr>
        <xdr:cNvPr id="79" name="Conector reto 78">
          <a:extLst>
            <a:ext uri="{FF2B5EF4-FFF2-40B4-BE49-F238E27FC236}">
              <a16:creationId xmlns:a16="http://schemas.microsoft.com/office/drawing/2014/main" id="{BF7095BD-4BC2-48D1-9CB5-A8D66C30A299}"/>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942</xdr:row>
      <xdr:rowOff>87630</xdr:rowOff>
    </xdr:from>
    <xdr:to>
      <xdr:col>9</xdr:col>
      <xdr:colOff>0</xdr:colOff>
      <xdr:row>942</xdr:row>
      <xdr:rowOff>87630</xdr:rowOff>
    </xdr:to>
    <xdr:cxnSp macro="">
      <xdr:nvCxnSpPr>
        <xdr:cNvPr id="80" name="Conector reto 79">
          <a:extLst>
            <a:ext uri="{FF2B5EF4-FFF2-40B4-BE49-F238E27FC236}">
              <a16:creationId xmlns:a16="http://schemas.microsoft.com/office/drawing/2014/main" id="{04459B97-BFDF-4B66-A208-1175089C532C}"/>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949</xdr:row>
      <xdr:rowOff>87630</xdr:rowOff>
    </xdr:from>
    <xdr:to>
      <xdr:col>9</xdr:col>
      <xdr:colOff>0</xdr:colOff>
      <xdr:row>949</xdr:row>
      <xdr:rowOff>87630</xdr:rowOff>
    </xdr:to>
    <xdr:cxnSp macro="">
      <xdr:nvCxnSpPr>
        <xdr:cNvPr id="81" name="Conector reto 80">
          <a:extLst>
            <a:ext uri="{FF2B5EF4-FFF2-40B4-BE49-F238E27FC236}">
              <a16:creationId xmlns:a16="http://schemas.microsoft.com/office/drawing/2014/main" id="{C2D08D5B-7AB3-4773-86D3-95AA7C8E98F8}"/>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956</xdr:row>
      <xdr:rowOff>87630</xdr:rowOff>
    </xdr:from>
    <xdr:to>
      <xdr:col>9</xdr:col>
      <xdr:colOff>0</xdr:colOff>
      <xdr:row>956</xdr:row>
      <xdr:rowOff>87630</xdr:rowOff>
    </xdr:to>
    <xdr:cxnSp macro="">
      <xdr:nvCxnSpPr>
        <xdr:cNvPr id="82" name="Conector reto 81">
          <a:extLst>
            <a:ext uri="{FF2B5EF4-FFF2-40B4-BE49-F238E27FC236}">
              <a16:creationId xmlns:a16="http://schemas.microsoft.com/office/drawing/2014/main" id="{D2152099-890E-4501-829D-130FEF4CBFE0}"/>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963</xdr:row>
      <xdr:rowOff>87630</xdr:rowOff>
    </xdr:from>
    <xdr:to>
      <xdr:col>9</xdr:col>
      <xdr:colOff>0</xdr:colOff>
      <xdr:row>963</xdr:row>
      <xdr:rowOff>87630</xdr:rowOff>
    </xdr:to>
    <xdr:cxnSp macro="">
      <xdr:nvCxnSpPr>
        <xdr:cNvPr id="83" name="Conector reto 82">
          <a:extLst>
            <a:ext uri="{FF2B5EF4-FFF2-40B4-BE49-F238E27FC236}">
              <a16:creationId xmlns:a16="http://schemas.microsoft.com/office/drawing/2014/main" id="{BA49EED1-5536-43DC-BF30-3DF306D19129}"/>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970</xdr:row>
      <xdr:rowOff>87630</xdr:rowOff>
    </xdr:from>
    <xdr:to>
      <xdr:col>9</xdr:col>
      <xdr:colOff>0</xdr:colOff>
      <xdr:row>970</xdr:row>
      <xdr:rowOff>87630</xdr:rowOff>
    </xdr:to>
    <xdr:cxnSp macro="">
      <xdr:nvCxnSpPr>
        <xdr:cNvPr id="84" name="Conector reto 83">
          <a:extLst>
            <a:ext uri="{FF2B5EF4-FFF2-40B4-BE49-F238E27FC236}">
              <a16:creationId xmlns:a16="http://schemas.microsoft.com/office/drawing/2014/main" id="{3844485D-C4DD-4961-A392-A1772A1C2AFC}"/>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977</xdr:row>
      <xdr:rowOff>87630</xdr:rowOff>
    </xdr:from>
    <xdr:to>
      <xdr:col>9</xdr:col>
      <xdr:colOff>0</xdr:colOff>
      <xdr:row>977</xdr:row>
      <xdr:rowOff>87630</xdr:rowOff>
    </xdr:to>
    <xdr:cxnSp macro="">
      <xdr:nvCxnSpPr>
        <xdr:cNvPr id="85" name="Conector reto 84">
          <a:extLst>
            <a:ext uri="{FF2B5EF4-FFF2-40B4-BE49-F238E27FC236}">
              <a16:creationId xmlns:a16="http://schemas.microsoft.com/office/drawing/2014/main" id="{DE710E27-CC06-4B64-A1ED-02492051FA39}"/>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984</xdr:row>
      <xdr:rowOff>87630</xdr:rowOff>
    </xdr:from>
    <xdr:to>
      <xdr:col>9</xdr:col>
      <xdr:colOff>0</xdr:colOff>
      <xdr:row>984</xdr:row>
      <xdr:rowOff>87630</xdr:rowOff>
    </xdr:to>
    <xdr:cxnSp macro="">
      <xdr:nvCxnSpPr>
        <xdr:cNvPr id="86" name="Conector reto 85">
          <a:extLst>
            <a:ext uri="{FF2B5EF4-FFF2-40B4-BE49-F238E27FC236}">
              <a16:creationId xmlns:a16="http://schemas.microsoft.com/office/drawing/2014/main" id="{0056E3CA-CA6E-4716-8086-075BCD8B55DB}"/>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991</xdr:row>
      <xdr:rowOff>87630</xdr:rowOff>
    </xdr:from>
    <xdr:to>
      <xdr:col>9</xdr:col>
      <xdr:colOff>0</xdr:colOff>
      <xdr:row>991</xdr:row>
      <xdr:rowOff>87630</xdr:rowOff>
    </xdr:to>
    <xdr:cxnSp macro="">
      <xdr:nvCxnSpPr>
        <xdr:cNvPr id="87" name="Conector reto 86">
          <a:extLst>
            <a:ext uri="{FF2B5EF4-FFF2-40B4-BE49-F238E27FC236}">
              <a16:creationId xmlns:a16="http://schemas.microsoft.com/office/drawing/2014/main" id="{EB6803C2-38FF-4684-B232-F4DF0CCAEDFC}"/>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999</xdr:row>
      <xdr:rowOff>87630</xdr:rowOff>
    </xdr:from>
    <xdr:to>
      <xdr:col>9</xdr:col>
      <xdr:colOff>0</xdr:colOff>
      <xdr:row>999</xdr:row>
      <xdr:rowOff>87630</xdr:rowOff>
    </xdr:to>
    <xdr:cxnSp macro="">
      <xdr:nvCxnSpPr>
        <xdr:cNvPr id="88" name="Conector reto 87">
          <a:extLst>
            <a:ext uri="{FF2B5EF4-FFF2-40B4-BE49-F238E27FC236}">
              <a16:creationId xmlns:a16="http://schemas.microsoft.com/office/drawing/2014/main" id="{21EB554F-8513-4ED6-BA12-9A9534CA9B04}"/>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1006</xdr:row>
      <xdr:rowOff>87630</xdr:rowOff>
    </xdr:from>
    <xdr:to>
      <xdr:col>9</xdr:col>
      <xdr:colOff>0</xdr:colOff>
      <xdr:row>1006</xdr:row>
      <xdr:rowOff>87630</xdr:rowOff>
    </xdr:to>
    <xdr:cxnSp macro="">
      <xdr:nvCxnSpPr>
        <xdr:cNvPr id="89" name="Conector reto 88">
          <a:extLst>
            <a:ext uri="{FF2B5EF4-FFF2-40B4-BE49-F238E27FC236}">
              <a16:creationId xmlns:a16="http://schemas.microsoft.com/office/drawing/2014/main" id="{B25F5C7C-55AF-4E8D-8A20-8BED4C8A780E}"/>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1023</xdr:row>
      <xdr:rowOff>87630</xdr:rowOff>
    </xdr:from>
    <xdr:to>
      <xdr:col>9</xdr:col>
      <xdr:colOff>0</xdr:colOff>
      <xdr:row>1023</xdr:row>
      <xdr:rowOff>87630</xdr:rowOff>
    </xdr:to>
    <xdr:cxnSp macro="">
      <xdr:nvCxnSpPr>
        <xdr:cNvPr id="90" name="Conector reto 89">
          <a:extLst>
            <a:ext uri="{FF2B5EF4-FFF2-40B4-BE49-F238E27FC236}">
              <a16:creationId xmlns:a16="http://schemas.microsoft.com/office/drawing/2014/main" id="{C19FB382-9998-466B-B089-B5F6B2984424}"/>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1030</xdr:row>
      <xdr:rowOff>87630</xdr:rowOff>
    </xdr:from>
    <xdr:to>
      <xdr:col>9</xdr:col>
      <xdr:colOff>0</xdr:colOff>
      <xdr:row>1030</xdr:row>
      <xdr:rowOff>87630</xdr:rowOff>
    </xdr:to>
    <xdr:cxnSp macro="">
      <xdr:nvCxnSpPr>
        <xdr:cNvPr id="91" name="Conector reto 90">
          <a:extLst>
            <a:ext uri="{FF2B5EF4-FFF2-40B4-BE49-F238E27FC236}">
              <a16:creationId xmlns:a16="http://schemas.microsoft.com/office/drawing/2014/main" id="{599E16B4-9222-4E1D-8CAE-35BF60D6043F}"/>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1037</xdr:row>
      <xdr:rowOff>87630</xdr:rowOff>
    </xdr:from>
    <xdr:to>
      <xdr:col>9</xdr:col>
      <xdr:colOff>0</xdr:colOff>
      <xdr:row>1037</xdr:row>
      <xdr:rowOff>87630</xdr:rowOff>
    </xdr:to>
    <xdr:cxnSp macro="">
      <xdr:nvCxnSpPr>
        <xdr:cNvPr id="92" name="Conector reto 91">
          <a:extLst>
            <a:ext uri="{FF2B5EF4-FFF2-40B4-BE49-F238E27FC236}">
              <a16:creationId xmlns:a16="http://schemas.microsoft.com/office/drawing/2014/main" id="{1C4D683C-6FEB-44B7-B577-A4272D75D4A1}"/>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1044</xdr:row>
      <xdr:rowOff>87630</xdr:rowOff>
    </xdr:from>
    <xdr:to>
      <xdr:col>9</xdr:col>
      <xdr:colOff>0</xdr:colOff>
      <xdr:row>1044</xdr:row>
      <xdr:rowOff>87630</xdr:rowOff>
    </xdr:to>
    <xdr:cxnSp macro="">
      <xdr:nvCxnSpPr>
        <xdr:cNvPr id="93" name="Conector reto 92">
          <a:extLst>
            <a:ext uri="{FF2B5EF4-FFF2-40B4-BE49-F238E27FC236}">
              <a16:creationId xmlns:a16="http://schemas.microsoft.com/office/drawing/2014/main" id="{8AA45748-0AF5-44A3-95C6-F8190C6CF0FB}"/>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1054</xdr:row>
      <xdr:rowOff>87630</xdr:rowOff>
    </xdr:from>
    <xdr:to>
      <xdr:col>9</xdr:col>
      <xdr:colOff>0</xdr:colOff>
      <xdr:row>1054</xdr:row>
      <xdr:rowOff>87630</xdr:rowOff>
    </xdr:to>
    <xdr:cxnSp macro="">
      <xdr:nvCxnSpPr>
        <xdr:cNvPr id="94" name="Conector reto 93">
          <a:extLst>
            <a:ext uri="{FF2B5EF4-FFF2-40B4-BE49-F238E27FC236}">
              <a16:creationId xmlns:a16="http://schemas.microsoft.com/office/drawing/2014/main" id="{1D27C4AB-8B99-4DEF-9B85-B13BACC54C41}"/>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1062</xdr:row>
      <xdr:rowOff>87630</xdr:rowOff>
    </xdr:from>
    <xdr:to>
      <xdr:col>9</xdr:col>
      <xdr:colOff>0</xdr:colOff>
      <xdr:row>1062</xdr:row>
      <xdr:rowOff>87630</xdr:rowOff>
    </xdr:to>
    <xdr:cxnSp macro="">
      <xdr:nvCxnSpPr>
        <xdr:cNvPr id="95" name="Conector reto 94">
          <a:extLst>
            <a:ext uri="{FF2B5EF4-FFF2-40B4-BE49-F238E27FC236}">
              <a16:creationId xmlns:a16="http://schemas.microsoft.com/office/drawing/2014/main" id="{E141D71C-8D2F-4158-8EC4-CDBBFCA18647}"/>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1070</xdr:row>
      <xdr:rowOff>87630</xdr:rowOff>
    </xdr:from>
    <xdr:to>
      <xdr:col>9</xdr:col>
      <xdr:colOff>0</xdr:colOff>
      <xdr:row>1070</xdr:row>
      <xdr:rowOff>87630</xdr:rowOff>
    </xdr:to>
    <xdr:cxnSp macro="">
      <xdr:nvCxnSpPr>
        <xdr:cNvPr id="96" name="Conector reto 95">
          <a:extLst>
            <a:ext uri="{FF2B5EF4-FFF2-40B4-BE49-F238E27FC236}">
              <a16:creationId xmlns:a16="http://schemas.microsoft.com/office/drawing/2014/main" id="{3A91B00C-3013-4C40-9601-A6E30F845CB4}"/>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1078</xdr:row>
      <xdr:rowOff>87630</xdr:rowOff>
    </xdr:from>
    <xdr:to>
      <xdr:col>9</xdr:col>
      <xdr:colOff>0</xdr:colOff>
      <xdr:row>1078</xdr:row>
      <xdr:rowOff>87630</xdr:rowOff>
    </xdr:to>
    <xdr:cxnSp macro="">
      <xdr:nvCxnSpPr>
        <xdr:cNvPr id="97" name="Conector reto 96">
          <a:extLst>
            <a:ext uri="{FF2B5EF4-FFF2-40B4-BE49-F238E27FC236}">
              <a16:creationId xmlns:a16="http://schemas.microsoft.com/office/drawing/2014/main" id="{6F72B381-8441-486D-85EA-38CAB99B6E1C}"/>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1086</xdr:row>
      <xdr:rowOff>87630</xdr:rowOff>
    </xdr:from>
    <xdr:to>
      <xdr:col>9</xdr:col>
      <xdr:colOff>0</xdr:colOff>
      <xdr:row>1086</xdr:row>
      <xdr:rowOff>87630</xdr:rowOff>
    </xdr:to>
    <xdr:cxnSp macro="">
      <xdr:nvCxnSpPr>
        <xdr:cNvPr id="98" name="Conector reto 97">
          <a:extLst>
            <a:ext uri="{FF2B5EF4-FFF2-40B4-BE49-F238E27FC236}">
              <a16:creationId xmlns:a16="http://schemas.microsoft.com/office/drawing/2014/main" id="{23E0FCB5-93EF-42B2-BB53-758AD23AA78C}"/>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1094</xdr:row>
      <xdr:rowOff>87630</xdr:rowOff>
    </xdr:from>
    <xdr:to>
      <xdr:col>9</xdr:col>
      <xdr:colOff>0</xdr:colOff>
      <xdr:row>1094</xdr:row>
      <xdr:rowOff>87630</xdr:rowOff>
    </xdr:to>
    <xdr:cxnSp macro="">
      <xdr:nvCxnSpPr>
        <xdr:cNvPr id="99" name="Conector reto 98">
          <a:extLst>
            <a:ext uri="{FF2B5EF4-FFF2-40B4-BE49-F238E27FC236}">
              <a16:creationId xmlns:a16="http://schemas.microsoft.com/office/drawing/2014/main" id="{DEF41940-F9D0-4A19-B336-F1E210BBA79B}"/>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1102</xdr:row>
      <xdr:rowOff>87630</xdr:rowOff>
    </xdr:from>
    <xdr:to>
      <xdr:col>9</xdr:col>
      <xdr:colOff>0</xdr:colOff>
      <xdr:row>1102</xdr:row>
      <xdr:rowOff>87630</xdr:rowOff>
    </xdr:to>
    <xdr:cxnSp macro="">
      <xdr:nvCxnSpPr>
        <xdr:cNvPr id="100" name="Conector reto 99">
          <a:extLst>
            <a:ext uri="{FF2B5EF4-FFF2-40B4-BE49-F238E27FC236}">
              <a16:creationId xmlns:a16="http://schemas.microsoft.com/office/drawing/2014/main" id="{9A26CDC8-B239-44C0-BBD4-D7142A5EB0F4}"/>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1110</xdr:row>
      <xdr:rowOff>87630</xdr:rowOff>
    </xdr:from>
    <xdr:to>
      <xdr:col>9</xdr:col>
      <xdr:colOff>0</xdr:colOff>
      <xdr:row>1110</xdr:row>
      <xdr:rowOff>87630</xdr:rowOff>
    </xdr:to>
    <xdr:cxnSp macro="">
      <xdr:nvCxnSpPr>
        <xdr:cNvPr id="101" name="Conector reto 100">
          <a:extLst>
            <a:ext uri="{FF2B5EF4-FFF2-40B4-BE49-F238E27FC236}">
              <a16:creationId xmlns:a16="http://schemas.microsoft.com/office/drawing/2014/main" id="{69132398-A83C-4630-A4BD-C41917159210}"/>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1118</xdr:row>
      <xdr:rowOff>87630</xdr:rowOff>
    </xdr:from>
    <xdr:to>
      <xdr:col>9</xdr:col>
      <xdr:colOff>0</xdr:colOff>
      <xdr:row>1118</xdr:row>
      <xdr:rowOff>87630</xdr:rowOff>
    </xdr:to>
    <xdr:cxnSp macro="">
      <xdr:nvCxnSpPr>
        <xdr:cNvPr id="102" name="Conector reto 101">
          <a:extLst>
            <a:ext uri="{FF2B5EF4-FFF2-40B4-BE49-F238E27FC236}">
              <a16:creationId xmlns:a16="http://schemas.microsoft.com/office/drawing/2014/main" id="{7C9B6EBF-E1C8-4C5D-96E8-3B14A7D52767}"/>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1126</xdr:row>
      <xdr:rowOff>87630</xdr:rowOff>
    </xdr:from>
    <xdr:to>
      <xdr:col>9</xdr:col>
      <xdr:colOff>0</xdr:colOff>
      <xdr:row>1126</xdr:row>
      <xdr:rowOff>87630</xdr:rowOff>
    </xdr:to>
    <xdr:cxnSp macro="">
      <xdr:nvCxnSpPr>
        <xdr:cNvPr id="103" name="Conector reto 102">
          <a:extLst>
            <a:ext uri="{FF2B5EF4-FFF2-40B4-BE49-F238E27FC236}">
              <a16:creationId xmlns:a16="http://schemas.microsoft.com/office/drawing/2014/main" id="{5DFE6292-3D38-4282-9CA3-34F11E2D09C4}"/>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1134</xdr:row>
      <xdr:rowOff>87630</xdr:rowOff>
    </xdr:from>
    <xdr:to>
      <xdr:col>9</xdr:col>
      <xdr:colOff>0</xdr:colOff>
      <xdr:row>1134</xdr:row>
      <xdr:rowOff>87630</xdr:rowOff>
    </xdr:to>
    <xdr:cxnSp macro="">
      <xdr:nvCxnSpPr>
        <xdr:cNvPr id="104" name="Conector reto 103">
          <a:extLst>
            <a:ext uri="{FF2B5EF4-FFF2-40B4-BE49-F238E27FC236}">
              <a16:creationId xmlns:a16="http://schemas.microsoft.com/office/drawing/2014/main" id="{FFB8D484-B4F0-46B0-B8BE-804CF60A7A41}"/>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1142</xdr:row>
      <xdr:rowOff>87630</xdr:rowOff>
    </xdr:from>
    <xdr:to>
      <xdr:col>9</xdr:col>
      <xdr:colOff>0</xdr:colOff>
      <xdr:row>1142</xdr:row>
      <xdr:rowOff>87630</xdr:rowOff>
    </xdr:to>
    <xdr:cxnSp macro="">
      <xdr:nvCxnSpPr>
        <xdr:cNvPr id="105" name="Conector reto 104">
          <a:extLst>
            <a:ext uri="{FF2B5EF4-FFF2-40B4-BE49-F238E27FC236}">
              <a16:creationId xmlns:a16="http://schemas.microsoft.com/office/drawing/2014/main" id="{C564B9F0-3EB2-4ABE-A9C7-2CC873B94398}"/>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1150</xdr:row>
      <xdr:rowOff>87630</xdr:rowOff>
    </xdr:from>
    <xdr:to>
      <xdr:col>9</xdr:col>
      <xdr:colOff>0</xdr:colOff>
      <xdr:row>1150</xdr:row>
      <xdr:rowOff>87630</xdr:rowOff>
    </xdr:to>
    <xdr:cxnSp macro="">
      <xdr:nvCxnSpPr>
        <xdr:cNvPr id="106" name="Conector reto 105">
          <a:extLst>
            <a:ext uri="{FF2B5EF4-FFF2-40B4-BE49-F238E27FC236}">
              <a16:creationId xmlns:a16="http://schemas.microsoft.com/office/drawing/2014/main" id="{139ECE9D-CCBB-48DF-B0AD-9122133576DE}"/>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1157</xdr:row>
      <xdr:rowOff>87630</xdr:rowOff>
    </xdr:from>
    <xdr:to>
      <xdr:col>9</xdr:col>
      <xdr:colOff>0</xdr:colOff>
      <xdr:row>1157</xdr:row>
      <xdr:rowOff>87630</xdr:rowOff>
    </xdr:to>
    <xdr:cxnSp macro="">
      <xdr:nvCxnSpPr>
        <xdr:cNvPr id="107" name="Conector reto 106">
          <a:extLst>
            <a:ext uri="{FF2B5EF4-FFF2-40B4-BE49-F238E27FC236}">
              <a16:creationId xmlns:a16="http://schemas.microsoft.com/office/drawing/2014/main" id="{9ED28015-B780-42CF-83B9-7A330C77DF23}"/>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1164</xdr:row>
      <xdr:rowOff>87630</xdr:rowOff>
    </xdr:from>
    <xdr:to>
      <xdr:col>9</xdr:col>
      <xdr:colOff>0</xdr:colOff>
      <xdr:row>1164</xdr:row>
      <xdr:rowOff>87630</xdr:rowOff>
    </xdr:to>
    <xdr:cxnSp macro="">
      <xdr:nvCxnSpPr>
        <xdr:cNvPr id="108" name="Conector reto 107">
          <a:extLst>
            <a:ext uri="{FF2B5EF4-FFF2-40B4-BE49-F238E27FC236}">
              <a16:creationId xmlns:a16="http://schemas.microsoft.com/office/drawing/2014/main" id="{CBC4D08B-D7D9-40F7-ADAF-3DA5D243BD54}"/>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1170</xdr:row>
      <xdr:rowOff>87630</xdr:rowOff>
    </xdr:from>
    <xdr:to>
      <xdr:col>9</xdr:col>
      <xdr:colOff>0</xdr:colOff>
      <xdr:row>1170</xdr:row>
      <xdr:rowOff>87630</xdr:rowOff>
    </xdr:to>
    <xdr:cxnSp macro="">
      <xdr:nvCxnSpPr>
        <xdr:cNvPr id="109" name="Conector reto 108">
          <a:extLst>
            <a:ext uri="{FF2B5EF4-FFF2-40B4-BE49-F238E27FC236}">
              <a16:creationId xmlns:a16="http://schemas.microsoft.com/office/drawing/2014/main" id="{280FDF14-CF2E-408E-A52E-6A2279D47F4C}"/>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1176</xdr:row>
      <xdr:rowOff>87630</xdr:rowOff>
    </xdr:from>
    <xdr:to>
      <xdr:col>9</xdr:col>
      <xdr:colOff>0</xdr:colOff>
      <xdr:row>1176</xdr:row>
      <xdr:rowOff>87630</xdr:rowOff>
    </xdr:to>
    <xdr:cxnSp macro="">
      <xdr:nvCxnSpPr>
        <xdr:cNvPr id="110" name="Conector reto 109">
          <a:extLst>
            <a:ext uri="{FF2B5EF4-FFF2-40B4-BE49-F238E27FC236}">
              <a16:creationId xmlns:a16="http://schemas.microsoft.com/office/drawing/2014/main" id="{257FDFBD-A9FE-4EA6-9146-20100233432E}"/>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1183</xdr:row>
      <xdr:rowOff>87630</xdr:rowOff>
    </xdr:from>
    <xdr:to>
      <xdr:col>9</xdr:col>
      <xdr:colOff>0</xdr:colOff>
      <xdr:row>1183</xdr:row>
      <xdr:rowOff>87630</xdr:rowOff>
    </xdr:to>
    <xdr:cxnSp macro="">
      <xdr:nvCxnSpPr>
        <xdr:cNvPr id="111" name="Conector reto 110">
          <a:extLst>
            <a:ext uri="{FF2B5EF4-FFF2-40B4-BE49-F238E27FC236}">
              <a16:creationId xmlns:a16="http://schemas.microsoft.com/office/drawing/2014/main" id="{54170FAC-5663-4344-8592-211979F005F3}"/>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1189</xdr:row>
      <xdr:rowOff>87630</xdr:rowOff>
    </xdr:from>
    <xdr:to>
      <xdr:col>9</xdr:col>
      <xdr:colOff>0</xdr:colOff>
      <xdr:row>1189</xdr:row>
      <xdr:rowOff>87630</xdr:rowOff>
    </xdr:to>
    <xdr:cxnSp macro="">
      <xdr:nvCxnSpPr>
        <xdr:cNvPr id="112" name="Conector reto 111">
          <a:extLst>
            <a:ext uri="{FF2B5EF4-FFF2-40B4-BE49-F238E27FC236}">
              <a16:creationId xmlns:a16="http://schemas.microsoft.com/office/drawing/2014/main" id="{B7B1F36B-FF48-419C-A170-E324DB14A8BC}"/>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1197</xdr:row>
      <xdr:rowOff>87630</xdr:rowOff>
    </xdr:from>
    <xdr:to>
      <xdr:col>9</xdr:col>
      <xdr:colOff>0</xdr:colOff>
      <xdr:row>1197</xdr:row>
      <xdr:rowOff>87630</xdr:rowOff>
    </xdr:to>
    <xdr:cxnSp macro="">
      <xdr:nvCxnSpPr>
        <xdr:cNvPr id="113" name="Conector reto 112">
          <a:extLst>
            <a:ext uri="{FF2B5EF4-FFF2-40B4-BE49-F238E27FC236}">
              <a16:creationId xmlns:a16="http://schemas.microsoft.com/office/drawing/2014/main" id="{A7CE0D1B-C9A3-40D9-BDF7-C9AA16305FCB}"/>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1205</xdr:row>
      <xdr:rowOff>87630</xdr:rowOff>
    </xdr:from>
    <xdr:to>
      <xdr:col>9</xdr:col>
      <xdr:colOff>0</xdr:colOff>
      <xdr:row>1205</xdr:row>
      <xdr:rowOff>87630</xdr:rowOff>
    </xdr:to>
    <xdr:cxnSp macro="">
      <xdr:nvCxnSpPr>
        <xdr:cNvPr id="114" name="Conector reto 113">
          <a:extLst>
            <a:ext uri="{FF2B5EF4-FFF2-40B4-BE49-F238E27FC236}">
              <a16:creationId xmlns:a16="http://schemas.microsoft.com/office/drawing/2014/main" id="{EE59A3B2-C551-4E84-8E58-7B5E61574F22}"/>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1212</xdr:row>
      <xdr:rowOff>87630</xdr:rowOff>
    </xdr:from>
    <xdr:to>
      <xdr:col>9</xdr:col>
      <xdr:colOff>0</xdr:colOff>
      <xdr:row>1212</xdr:row>
      <xdr:rowOff>87630</xdr:rowOff>
    </xdr:to>
    <xdr:cxnSp macro="">
      <xdr:nvCxnSpPr>
        <xdr:cNvPr id="115" name="Conector reto 114">
          <a:extLst>
            <a:ext uri="{FF2B5EF4-FFF2-40B4-BE49-F238E27FC236}">
              <a16:creationId xmlns:a16="http://schemas.microsoft.com/office/drawing/2014/main" id="{96477419-1290-4967-A676-8D8764F5625A}"/>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1218</xdr:row>
      <xdr:rowOff>87630</xdr:rowOff>
    </xdr:from>
    <xdr:to>
      <xdr:col>9</xdr:col>
      <xdr:colOff>0</xdr:colOff>
      <xdr:row>1218</xdr:row>
      <xdr:rowOff>87630</xdr:rowOff>
    </xdr:to>
    <xdr:cxnSp macro="">
      <xdr:nvCxnSpPr>
        <xdr:cNvPr id="116" name="Conector reto 115">
          <a:extLst>
            <a:ext uri="{FF2B5EF4-FFF2-40B4-BE49-F238E27FC236}">
              <a16:creationId xmlns:a16="http://schemas.microsoft.com/office/drawing/2014/main" id="{5329AF41-FA7C-4EE8-876E-79E3E603E299}"/>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1224</xdr:row>
      <xdr:rowOff>87630</xdr:rowOff>
    </xdr:from>
    <xdr:to>
      <xdr:col>9</xdr:col>
      <xdr:colOff>0</xdr:colOff>
      <xdr:row>1224</xdr:row>
      <xdr:rowOff>87630</xdr:rowOff>
    </xdr:to>
    <xdr:cxnSp macro="">
      <xdr:nvCxnSpPr>
        <xdr:cNvPr id="117" name="Conector reto 116">
          <a:extLst>
            <a:ext uri="{FF2B5EF4-FFF2-40B4-BE49-F238E27FC236}">
              <a16:creationId xmlns:a16="http://schemas.microsoft.com/office/drawing/2014/main" id="{2EB41D2C-736A-4E0F-A447-2F7EAEB53D56}"/>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1230</xdr:row>
      <xdr:rowOff>87630</xdr:rowOff>
    </xdr:from>
    <xdr:to>
      <xdr:col>9</xdr:col>
      <xdr:colOff>0</xdr:colOff>
      <xdr:row>1230</xdr:row>
      <xdr:rowOff>87630</xdr:rowOff>
    </xdr:to>
    <xdr:cxnSp macro="">
      <xdr:nvCxnSpPr>
        <xdr:cNvPr id="118" name="Conector reto 117">
          <a:extLst>
            <a:ext uri="{FF2B5EF4-FFF2-40B4-BE49-F238E27FC236}">
              <a16:creationId xmlns:a16="http://schemas.microsoft.com/office/drawing/2014/main" id="{A218B426-448D-4825-8712-905FE0C8D3A6}"/>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1236</xdr:row>
      <xdr:rowOff>87630</xdr:rowOff>
    </xdr:from>
    <xdr:to>
      <xdr:col>9</xdr:col>
      <xdr:colOff>0</xdr:colOff>
      <xdr:row>1236</xdr:row>
      <xdr:rowOff>87630</xdr:rowOff>
    </xdr:to>
    <xdr:cxnSp macro="">
      <xdr:nvCxnSpPr>
        <xdr:cNvPr id="119" name="Conector reto 118">
          <a:extLst>
            <a:ext uri="{FF2B5EF4-FFF2-40B4-BE49-F238E27FC236}">
              <a16:creationId xmlns:a16="http://schemas.microsoft.com/office/drawing/2014/main" id="{FDB43485-B8CC-4BD4-B89F-259ADF5B9BF5}"/>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1244</xdr:row>
      <xdr:rowOff>87630</xdr:rowOff>
    </xdr:from>
    <xdr:to>
      <xdr:col>9</xdr:col>
      <xdr:colOff>0</xdr:colOff>
      <xdr:row>1244</xdr:row>
      <xdr:rowOff>87630</xdr:rowOff>
    </xdr:to>
    <xdr:cxnSp macro="">
      <xdr:nvCxnSpPr>
        <xdr:cNvPr id="120" name="Conector reto 119">
          <a:extLst>
            <a:ext uri="{FF2B5EF4-FFF2-40B4-BE49-F238E27FC236}">
              <a16:creationId xmlns:a16="http://schemas.microsoft.com/office/drawing/2014/main" id="{E6A9E633-A682-4995-B3E4-A2D02F5ED9A8}"/>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1252</xdr:row>
      <xdr:rowOff>87630</xdr:rowOff>
    </xdr:from>
    <xdr:to>
      <xdr:col>9</xdr:col>
      <xdr:colOff>0</xdr:colOff>
      <xdr:row>1252</xdr:row>
      <xdr:rowOff>87630</xdr:rowOff>
    </xdr:to>
    <xdr:cxnSp macro="">
      <xdr:nvCxnSpPr>
        <xdr:cNvPr id="121" name="Conector reto 120">
          <a:extLst>
            <a:ext uri="{FF2B5EF4-FFF2-40B4-BE49-F238E27FC236}">
              <a16:creationId xmlns:a16="http://schemas.microsoft.com/office/drawing/2014/main" id="{301B0BCE-C6D8-4D4C-8675-BA3A43F45800}"/>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1260</xdr:row>
      <xdr:rowOff>87630</xdr:rowOff>
    </xdr:from>
    <xdr:to>
      <xdr:col>9</xdr:col>
      <xdr:colOff>0</xdr:colOff>
      <xdr:row>1260</xdr:row>
      <xdr:rowOff>87630</xdr:rowOff>
    </xdr:to>
    <xdr:cxnSp macro="">
      <xdr:nvCxnSpPr>
        <xdr:cNvPr id="122" name="Conector reto 121">
          <a:extLst>
            <a:ext uri="{FF2B5EF4-FFF2-40B4-BE49-F238E27FC236}">
              <a16:creationId xmlns:a16="http://schemas.microsoft.com/office/drawing/2014/main" id="{2C37C3F5-D8F2-411F-ABBA-0EC52ABDA0DE}"/>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1268</xdr:row>
      <xdr:rowOff>87630</xdr:rowOff>
    </xdr:from>
    <xdr:to>
      <xdr:col>9</xdr:col>
      <xdr:colOff>0</xdr:colOff>
      <xdr:row>1268</xdr:row>
      <xdr:rowOff>87630</xdr:rowOff>
    </xdr:to>
    <xdr:cxnSp macro="">
      <xdr:nvCxnSpPr>
        <xdr:cNvPr id="123" name="Conector reto 122">
          <a:extLst>
            <a:ext uri="{FF2B5EF4-FFF2-40B4-BE49-F238E27FC236}">
              <a16:creationId xmlns:a16="http://schemas.microsoft.com/office/drawing/2014/main" id="{B509895D-4C17-4769-84E2-AEA2F9E8CFD9}"/>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1275</xdr:row>
      <xdr:rowOff>87630</xdr:rowOff>
    </xdr:from>
    <xdr:to>
      <xdr:col>9</xdr:col>
      <xdr:colOff>0</xdr:colOff>
      <xdr:row>1275</xdr:row>
      <xdr:rowOff>87630</xdr:rowOff>
    </xdr:to>
    <xdr:cxnSp macro="">
      <xdr:nvCxnSpPr>
        <xdr:cNvPr id="124" name="Conector reto 123">
          <a:extLst>
            <a:ext uri="{FF2B5EF4-FFF2-40B4-BE49-F238E27FC236}">
              <a16:creationId xmlns:a16="http://schemas.microsoft.com/office/drawing/2014/main" id="{79849A5E-A2B3-427F-AD30-E3002C07FE0E}"/>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1282</xdr:row>
      <xdr:rowOff>87630</xdr:rowOff>
    </xdr:from>
    <xdr:to>
      <xdr:col>9</xdr:col>
      <xdr:colOff>0</xdr:colOff>
      <xdr:row>1282</xdr:row>
      <xdr:rowOff>87630</xdr:rowOff>
    </xdr:to>
    <xdr:cxnSp macro="">
      <xdr:nvCxnSpPr>
        <xdr:cNvPr id="125" name="Conector reto 124">
          <a:extLst>
            <a:ext uri="{FF2B5EF4-FFF2-40B4-BE49-F238E27FC236}">
              <a16:creationId xmlns:a16="http://schemas.microsoft.com/office/drawing/2014/main" id="{46A15404-9C9E-4482-9C06-AF15F0FA4216}"/>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1290</xdr:row>
      <xdr:rowOff>87630</xdr:rowOff>
    </xdr:from>
    <xdr:to>
      <xdr:col>9</xdr:col>
      <xdr:colOff>0</xdr:colOff>
      <xdr:row>1290</xdr:row>
      <xdr:rowOff>87630</xdr:rowOff>
    </xdr:to>
    <xdr:cxnSp macro="">
      <xdr:nvCxnSpPr>
        <xdr:cNvPr id="126" name="Conector reto 125">
          <a:extLst>
            <a:ext uri="{FF2B5EF4-FFF2-40B4-BE49-F238E27FC236}">
              <a16:creationId xmlns:a16="http://schemas.microsoft.com/office/drawing/2014/main" id="{DE048946-C77D-4675-A9DB-B8FA1B0B00E1}"/>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1298</xdr:row>
      <xdr:rowOff>87630</xdr:rowOff>
    </xdr:from>
    <xdr:to>
      <xdr:col>9</xdr:col>
      <xdr:colOff>0</xdr:colOff>
      <xdr:row>1298</xdr:row>
      <xdr:rowOff>87630</xdr:rowOff>
    </xdr:to>
    <xdr:cxnSp macro="">
      <xdr:nvCxnSpPr>
        <xdr:cNvPr id="127" name="Conector reto 126">
          <a:extLst>
            <a:ext uri="{FF2B5EF4-FFF2-40B4-BE49-F238E27FC236}">
              <a16:creationId xmlns:a16="http://schemas.microsoft.com/office/drawing/2014/main" id="{3DF3E66C-4295-4BD0-8414-5FA1984206C7}"/>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1306</xdr:row>
      <xdr:rowOff>87630</xdr:rowOff>
    </xdr:from>
    <xdr:to>
      <xdr:col>9</xdr:col>
      <xdr:colOff>0</xdr:colOff>
      <xdr:row>1306</xdr:row>
      <xdr:rowOff>87630</xdr:rowOff>
    </xdr:to>
    <xdr:cxnSp macro="">
      <xdr:nvCxnSpPr>
        <xdr:cNvPr id="128" name="Conector reto 127">
          <a:extLst>
            <a:ext uri="{FF2B5EF4-FFF2-40B4-BE49-F238E27FC236}">
              <a16:creationId xmlns:a16="http://schemas.microsoft.com/office/drawing/2014/main" id="{30B89793-E2EA-4B6D-A422-6879DD9587CF}"/>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1313</xdr:row>
      <xdr:rowOff>87630</xdr:rowOff>
    </xdr:from>
    <xdr:to>
      <xdr:col>9</xdr:col>
      <xdr:colOff>0</xdr:colOff>
      <xdr:row>1313</xdr:row>
      <xdr:rowOff>87630</xdr:rowOff>
    </xdr:to>
    <xdr:cxnSp macro="">
      <xdr:nvCxnSpPr>
        <xdr:cNvPr id="129" name="Conector reto 128">
          <a:extLst>
            <a:ext uri="{FF2B5EF4-FFF2-40B4-BE49-F238E27FC236}">
              <a16:creationId xmlns:a16="http://schemas.microsoft.com/office/drawing/2014/main" id="{C37BC8C3-AA25-4CA6-942B-CF73A34D7972}"/>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1320</xdr:row>
      <xdr:rowOff>87630</xdr:rowOff>
    </xdr:from>
    <xdr:to>
      <xdr:col>9</xdr:col>
      <xdr:colOff>0</xdr:colOff>
      <xdr:row>1320</xdr:row>
      <xdr:rowOff>87630</xdr:rowOff>
    </xdr:to>
    <xdr:cxnSp macro="">
      <xdr:nvCxnSpPr>
        <xdr:cNvPr id="130" name="Conector reto 129">
          <a:extLst>
            <a:ext uri="{FF2B5EF4-FFF2-40B4-BE49-F238E27FC236}">
              <a16:creationId xmlns:a16="http://schemas.microsoft.com/office/drawing/2014/main" id="{D339FD03-F8D5-43A6-95C8-F1A6C9AFC501}"/>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1327</xdr:row>
      <xdr:rowOff>87630</xdr:rowOff>
    </xdr:from>
    <xdr:to>
      <xdr:col>9</xdr:col>
      <xdr:colOff>0</xdr:colOff>
      <xdr:row>1327</xdr:row>
      <xdr:rowOff>87630</xdr:rowOff>
    </xdr:to>
    <xdr:cxnSp macro="">
      <xdr:nvCxnSpPr>
        <xdr:cNvPr id="131" name="Conector reto 130">
          <a:extLst>
            <a:ext uri="{FF2B5EF4-FFF2-40B4-BE49-F238E27FC236}">
              <a16:creationId xmlns:a16="http://schemas.microsoft.com/office/drawing/2014/main" id="{1ED6A6B4-52CC-4005-B86B-6C02E4D2CF89}"/>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1334</xdr:row>
      <xdr:rowOff>87630</xdr:rowOff>
    </xdr:from>
    <xdr:to>
      <xdr:col>9</xdr:col>
      <xdr:colOff>0</xdr:colOff>
      <xdr:row>1334</xdr:row>
      <xdr:rowOff>87630</xdr:rowOff>
    </xdr:to>
    <xdr:cxnSp macro="">
      <xdr:nvCxnSpPr>
        <xdr:cNvPr id="132" name="Conector reto 131">
          <a:extLst>
            <a:ext uri="{FF2B5EF4-FFF2-40B4-BE49-F238E27FC236}">
              <a16:creationId xmlns:a16="http://schemas.microsoft.com/office/drawing/2014/main" id="{3A83695D-D213-4ABD-8901-CD4EFA187B34}"/>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1341</xdr:row>
      <xdr:rowOff>87630</xdr:rowOff>
    </xdr:from>
    <xdr:to>
      <xdr:col>9</xdr:col>
      <xdr:colOff>0</xdr:colOff>
      <xdr:row>1341</xdr:row>
      <xdr:rowOff>87630</xdr:rowOff>
    </xdr:to>
    <xdr:cxnSp macro="">
      <xdr:nvCxnSpPr>
        <xdr:cNvPr id="133" name="Conector reto 132">
          <a:extLst>
            <a:ext uri="{FF2B5EF4-FFF2-40B4-BE49-F238E27FC236}">
              <a16:creationId xmlns:a16="http://schemas.microsoft.com/office/drawing/2014/main" id="{038F9118-0F45-429B-89C1-C449CEE98A08}"/>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1349</xdr:row>
      <xdr:rowOff>87630</xdr:rowOff>
    </xdr:from>
    <xdr:to>
      <xdr:col>9</xdr:col>
      <xdr:colOff>0</xdr:colOff>
      <xdr:row>1349</xdr:row>
      <xdr:rowOff>87630</xdr:rowOff>
    </xdr:to>
    <xdr:cxnSp macro="">
      <xdr:nvCxnSpPr>
        <xdr:cNvPr id="134" name="Conector reto 133">
          <a:extLst>
            <a:ext uri="{FF2B5EF4-FFF2-40B4-BE49-F238E27FC236}">
              <a16:creationId xmlns:a16="http://schemas.microsoft.com/office/drawing/2014/main" id="{F8FA393B-91E8-4E37-8924-33F9CC0EC329}"/>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1357</xdr:row>
      <xdr:rowOff>87630</xdr:rowOff>
    </xdr:from>
    <xdr:to>
      <xdr:col>9</xdr:col>
      <xdr:colOff>0</xdr:colOff>
      <xdr:row>1357</xdr:row>
      <xdr:rowOff>87630</xdr:rowOff>
    </xdr:to>
    <xdr:cxnSp macro="">
      <xdr:nvCxnSpPr>
        <xdr:cNvPr id="135" name="Conector reto 134">
          <a:extLst>
            <a:ext uri="{FF2B5EF4-FFF2-40B4-BE49-F238E27FC236}">
              <a16:creationId xmlns:a16="http://schemas.microsoft.com/office/drawing/2014/main" id="{D8C60852-0C11-4E85-9926-0E9FE4B12F14}"/>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1365</xdr:row>
      <xdr:rowOff>87630</xdr:rowOff>
    </xdr:from>
    <xdr:to>
      <xdr:col>9</xdr:col>
      <xdr:colOff>0</xdr:colOff>
      <xdr:row>1365</xdr:row>
      <xdr:rowOff>87630</xdr:rowOff>
    </xdr:to>
    <xdr:cxnSp macro="">
      <xdr:nvCxnSpPr>
        <xdr:cNvPr id="136" name="Conector reto 135">
          <a:extLst>
            <a:ext uri="{FF2B5EF4-FFF2-40B4-BE49-F238E27FC236}">
              <a16:creationId xmlns:a16="http://schemas.microsoft.com/office/drawing/2014/main" id="{EAA56E13-0561-4B4B-A12B-98F9581E0206}"/>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1372</xdr:row>
      <xdr:rowOff>87630</xdr:rowOff>
    </xdr:from>
    <xdr:to>
      <xdr:col>9</xdr:col>
      <xdr:colOff>0</xdr:colOff>
      <xdr:row>1372</xdr:row>
      <xdr:rowOff>87630</xdr:rowOff>
    </xdr:to>
    <xdr:cxnSp macro="">
      <xdr:nvCxnSpPr>
        <xdr:cNvPr id="137" name="Conector reto 136">
          <a:extLst>
            <a:ext uri="{FF2B5EF4-FFF2-40B4-BE49-F238E27FC236}">
              <a16:creationId xmlns:a16="http://schemas.microsoft.com/office/drawing/2014/main" id="{F267C149-DD1B-4F85-9A7A-E7F381D25126}"/>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1379</xdr:row>
      <xdr:rowOff>87630</xdr:rowOff>
    </xdr:from>
    <xdr:to>
      <xdr:col>9</xdr:col>
      <xdr:colOff>0</xdr:colOff>
      <xdr:row>1379</xdr:row>
      <xdr:rowOff>87630</xdr:rowOff>
    </xdr:to>
    <xdr:cxnSp macro="">
      <xdr:nvCxnSpPr>
        <xdr:cNvPr id="138" name="Conector reto 137">
          <a:extLst>
            <a:ext uri="{FF2B5EF4-FFF2-40B4-BE49-F238E27FC236}">
              <a16:creationId xmlns:a16="http://schemas.microsoft.com/office/drawing/2014/main" id="{19F8E051-316E-4488-84CE-6E0E89D1D36C}"/>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1388</xdr:row>
      <xdr:rowOff>87630</xdr:rowOff>
    </xdr:from>
    <xdr:to>
      <xdr:col>9</xdr:col>
      <xdr:colOff>0</xdr:colOff>
      <xdr:row>1388</xdr:row>
      <xdr:rowOff>87630</xdr:rowOff>
    </xdr:to>
    <xdr:cxnSp macro="">
      <xdr:nvCxnSpPr>
        <xdr:cNvPr id="139" name="Conector reto 138">
          <a:extLst>
            <a:ext uri="{FF2B5EF4-FFF2-40B4-BE49-F238E27FC236}">
              <a16:creationId xmlns:a16="http://schemas.microsoft.com/office/drawing/2014/main" id="{311205CE-52BD-45DF-BE02-266A549F3AC5}"/>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1396</xdr:row>
      <xdr:rowOff>87630</xdr:rowOff>
    </xdr:from>
    <xdr:to>
      <xdr:col>9</xdr:col>
      <xdr:colOff>0</xdr:colOff>
      <xdr:row>1396</xdr:row>
      <xdr:rowOff>87630</xdr:rowOff>
    </xdr:to>
    <xdr:cxnSp macro="">
      <xdr:nvCxnSpPr>
        <xdr:cNvPr id="140" name="Conector reto 139">
          <a:extLst>
            <a:ext uri="{FF2B5EF4-FFF2-40B4-BE49-F238E27FC236}">
              <a16:creationId xmlns:a16="http://schemas.microsoft.com/office/drawing/2014/main" id="{DFD54D1A-9E6E-4E21-B7FC-1DCAD20C328F}"/>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1404</xdr:row>
      <xdr:rowOff>87630</xdr:rowOff>
    </xdr:from>
    <xdr:to>
      <xdr:col>9</xdr:col>
      <xdr:colOff>0</xdr:colOff>
      <xdr:row>1404</xdr:row>
      <xdr:rowOff>87630</xdr:rowOff>
    </xdr:to>
    <xdr:cxnSp macro="">
      <xdr:nvCxnSpPr>
        <xdr:cNvPr id="141" name="Conector reto 140">
          <a:extLst>
            <a:ext uri="{FF2B5EF4-FFF2-40B4-BE49-F238E27FC236}">
              <a16:creationId xmlns:a16="http://schemas.microsoft.com/office/drawing/2014/main" id="{8E5A084D-2516-476E-8EF3-581B0E31784C}"/>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1413</xdr:row>
      <xdr:rowOff>87630</xdr:rowOff>
    </xdr:from>
    <xdr:to>
      <xdr:col>9</xdr:col>
      <xdr:colOff>0</xdr:colOff>
      <xdr:row>1413</xdr:row>
      <xdr:rowOff>87630</xdr:rowOff>
    </xdr:to>
    <xdr:cxnSp macro="">
      <xdr:nvCxnSpPr>
        <xdr:cNvPr id="142" name="Conector reto 141">
          <a:extLst>
            <a:ext uri="{FF2B5EF4-FFF2-40B4-BE49-F238E27FC236}">
              <a16:creationId xmlns:a16="http://schemas.microsoft.com/office/drawing/2014/main" id="{9DAB67E1-5A07-446C-9C06-4F070A394240}"/>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1420</xdr:row>
      <xdr:rowOff>87630</xdr:rowOff>
    </xdr:from>
    <xdr:to>
      <xdr:col>9</xdr:col>
      <xdr:colOff>0</xdr:colOff>
      <xdr:row>1420</xdr:row>
      <xdr:rowOff>87630</xdr:rowOff>
    </xdr:to>
    <xdr:cxnSp macro="">
      <xdr:nvCxnSpPr>
        <xdr:cNvPr id="143" name="Conector reto 142">
          <a:extLst>
            <a:ext uri="{FF2B5EF4-FFF2-40B4-BE49-F238E27FC236}">
              <a16:creationId xmlns:a16="http://schemas.microsoft.com/office/drawing/2014/main" id="{D53A775E-4E23-428D-9D22-A40050679E95}"/>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1426</xdr:row>
      <xdr:rowOff>87630</xdr:rowOff>
    </xdr:from>
    <xdr:to>
      <xdr:col>9</xdr:col>
      <xdr:colOff>0</xdr:colOff>
      <xdr:row>1426</xdr:row>
      <xdr:rowOff>87630</xdr:rowOff>
    </xdr:to>
    <xdr:cxnSp macro="">
      <xdr:nvCxnSpPr>
        <xdr:cNvPr id="144" name="Conector reto 143">
          <a:extLst>
            <a:ext uri="{FF2B5EF4-FFF2-40B4-BE49-F238E27FC236}">
              <a16:creationId xmlns:a16="http://schemas.microsoft.com/office/drawing/2014/main" id="{18E0B6DF-B02F-48CA-BF9D-625EF9F25866}"/>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1433</xdr:row>
      <xdr:rowOff>87630</xdr:rowOff>
    </xdr:from>
    <xdr:to>
      <xdr:col>9</xdr:col>
      <xdr:colOff>0</xdr:colOff>
      <xdr:row>1433</xdr:row>
      <xdr:rowOff>87630</xdr:rowOff>
    </xdr:to>
    <xdr:cxnSp macro="">
      <xdr:nvCxnSpPr>
        <xdr:cNvPr id="145" name="Conector reto 144">
          <a:extLst>
            <a:ext uri="{FF2B5EF4-FFF2-40B4-BE49-F238E27FC236}">
              <a16:creationId xmlns:a16="http://schemas.microsoft.com/office/drawing/2014/main" id="{207E040E-6D31-4ABF-A82B-3BF69448F5FD}"/>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1440</xdr:row>
      <xdr:rowOff>87630</xdr:rowOff>
    </xdr:from>
    <xdr:to>
      <xdr:col>9</xdr:col>
      <xdr:colOff>0</xdr:colOff>
      <xdr:row>1440</xdr:row>
      <xdr:rowOff>87630</xdr:rowOff>
    </xdr:to>
    <xdr:cxnSp macro="">
      <xdr:nvCxnSpPr>
        <xdr:cNvPr id="146" name="Conector reto 145">
          <a:extLst>
            <a:ext uri="{FF2B5EF4-FFF2-40B4-BE49-F238E27FC236}">
              <a16:creationId xmlns:a16="http://schemas.microsoft.com/office/drawing/2014/main" id="{13BE4C51-AB19-4F78-A441-B8F68F58FF2D}"/>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1446</xdr:row>
      <xdr:rowOff>87630</xdr:rowOff>
    </xdr:from>
    <xdr:to>
      <xdr:col>9</xdr:col>
      <xdr:colOff>0</xdr:colOff>
      <xdr:row>1446</xdr:row>
      <xdr:rowOff>87630</xdr:rowOff>
    </xdr:to>
    <xdr:cxnSp macro="">
      <xdr:nvCxnSpPr>
        <xdr:cNvPr id="147" name="Conector reto 146">
          <a:extLst>
            <a:ext uri="{FF2B5EF4-FFF2-40B4-BE49-F238E27FC236}">
              <a16:creationId xmlns:a16="http://schemas.microsoft.com/office/drawing/2014/main" id="{13731310-A716-40AB-BA64-AA936AC4F963}"/>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1452</xdr:row>
      <xdr:rowOff>87630</xdr:rowOff>
    </xdr:from>
    <xdr:to>
      <xdr:col>9</xdr:col>
      <xdr:colOff>0</xdr:colOff>
      <xdr:row>1452</xdr:row>
      <xdr:rowOff>87630</xdr:rowOff>
    </xdr:to>
    <xdr:cxnSp macro="">
      <xdr:nvCxnSpPr>
        <xdr:cNvPr id="148" name="Conector reto 147">
          <a:extLst>
            <a:ext uri="{FF2B5EF4-FFF2-40B4-BE49-F238E27FC236}">
              <a16:creationId xmlns:a16="http://schemas.microsoft.com/office/drawing/2014/main" id="{09A70883-1765-4864-86C2-7581F2F1DEC8}"/>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1459</xdr:row>
      <xdr:rowOff>87630</xdr:rowOff>
    </xdr:from>
    <xdr:to>
      <xdr:col>9</xdr:col>
      <xdr:colOff>0</xdr:colOff>
      <xdr:row>1459</xdr:row>
      <xdr:rowOff>87630</xdr:rowOff>
    </xdr:to>
    <xdr:cxnSp macro="">
      <xdr:nvCxnSpPr>
        <xdr:cNvPr id="149" name="Conector reto 148">
          <a:extLst>
            <a:ext uri="{FF2B5EF4-FFF2-40B4-BE49-F238E27FC236}">
              <a16:creationId xmlns:a16="http://schemas.microsoft.com/office/drawing/2014/main" id="{76ACE8C8-A544-4897-859A-58E1C2951150}"/>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1466</xdr:row>
      <xdr:rowOff>87630</xdr:rowOff>
    </xdr:from>
    <xdr:to>
      <xdr:col>9</xdr:col>
      <xdr:colOff>0</xdr:colOff>
      <xdr:row>1466</xdr:row>
      <xdr:rowOff>87630</xdr:rowOff>
    </xdr:to>
    <xdr:cxnSp macro="">
      <xdr:nvCxnSpPr>
        <xdr:cNvPr id="150" name="Conector reto 149">
          <a:extLst>
            <a:ext uri="{FF2B5EF4-FFF2-40B4-BE49-F238E27FC236}">
              <a16:creationId xmlns:a16="http://schemas.microsoft.com/office/drawing/2014/main" id="{45DD331C-EF9A-4292-A127-A8F4807016D8}"/>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1476</xdr:row>
      <xdr:rowOff>87630</xdr:rowOff>
    </xdr:from>
    <xdr:to>
      <xdr:col>9</xdr:col>
      <xdr:colOff>0</xdr:colOff>
      <xdr:row>1476</xdr:row>
      <xdr:rowOff>87630</xdr:rowOff>
    </xdr:to>
    <xdr:cxnSp macro="">
      <xdr:nvCxnSpPr>
        <xdr:cNvPr id="151" name="Conector reto 150">
          <a:extLst>
            <a:ext uri="{FF2B5EF4-FFF2-40B4-BE49-F238E27FC236}">
              <a16:creationId xmlns:a16="http://schemas.microsoft.com/office/drawing/2014/main" id="{C275C4BC-658C-4F28-8D2E-B82B74F1482B}"/>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1491</xdr:row>
      <xdr:rowOff>87630</xdr:rowOff>
    </xdr:from>
    <xdr:to>
      <xdr:col>9</xdr:col>
      <xdr:colOff>0</xdr:colOff>
      <xdr:row>1491</xdr:row>
      <xdr:rowOff>87630</xdr:rowOff>
    </xdr:to>
    <xdr:cxnSp macro="">
      <xdr:nvCxnSpPr>
        <xdr:cNvPr id="152" name="Conector reto 151">
          <a:extLst>
            <a:ext uri="{FF2B5EF4-FFF2-40B4-BE49-F238E27FC236}">
              <a16:creationId xmlns:a16="http://schemas.microsoft.com/office/drawing/2014/main" id="{95B8A106-3327-41DE-840D-8BF3F864C187}"/>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1498</xdr:row>
      <xdr:rowOff>87630</xdr:rowOff>
    </xdr:from>
    <xdr:to>
      <xdr:col>9</xdr:col>
      <xdr:colOff>0</xdr:colOff>
      <xdr:row>1498</xdr:row>
      <xdr:rowOff>87630</xdr:rowOff>
    </xdr:to>
    <xdr:cxnSp macro="">
      <xdr:nvCxnSpPr>
        <xdr:cNvPr id="153" name="Conector reto 152">
          <a:extLst>
            <a:ext uri="{FF2B5EF4-FFF2-40B4-BE49-F238E27FC236}">
              <a16:creationId xmlns:a16="http://schemas.microsoft.com/office/drawing/2014/main" id="{5A6D7DFE-5841-4930-8A3D-1B88DD852686}"/>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1505</xdr:row>
      <xdr:rowOff>87630</xdr:rowOff>
    </xdr:from>
    <xdr:to>
      <xdr:col>9</xdr:col>
      <xdr:colOff>0</xdr:colOff>
      <xdr:row>1505</xdr:row>
      <xdr:rowOff>87630</xdr:rowOff>
    </xdr:to>
    <xdr:cxnSp macro="">
      <xdr:nvCxnSpPr>
        <xdr:cNvPr id="154" name="Conector reto 153">
          <a:extLst>
            <a:ext uri="{FF2B5EF4-FFF2-40B4-BE49-F238E27FC236}">
              <a16:creationId xmlns:a16="http://schemas.microsoft.com/office/drawing/2014/main" id="{A7BD3DCA-AE64-4CB2-A62A-DE654DC226E9}"/>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1512</xdr:row>
      <xdr:rowOff>87630</xdr:rowOff>
    </xdr:from>
    <xdr:to>
      <xdr:col>9</xdr:col>
      <xdr:colOff>0</xdr:colOff>
      <xdr:row>1512</xdr:row>
      <xdr:rowOff>87630</xdr:rowOff>
    </xdr:to>
    <xdr:cxnSp macro="">
      <xdr:nvCxnSpPr>
        <xdr:cNvPr id="155" name="Conector reto 154">
          <a:extLst>
            <a:ext uri="{FF2B5EF4-FFF2-40B4-BE49-F238E27FC236}">
              <a16:creationId xmlns:a16="http://schemas.microsoft.com/office/drawing/2014/main" id="{C944B96B-3743-4CF4-A925-D8B08446BE95}"/>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1519</xdr:row>
      <xdr:rowOff>87630</xdr:rowOff>
    </xdr:from>
    <xdr:to>
      <xdr:col>9</xdr:col>
      <xdr:colOff>0</xdr:colOff>
      <xdr:row>1519</xdr:row>
      <xdr:rowOff>87630</xdr:rowOff>
    </xdr:to>
    <xdr:cxnSp macro="">
      <xdr:nvCxnSpPr>
        <xdr:cNvPr id="156" name="Conector reto 155">
          <a:extLst>
            <a:ext uri="{FF2B5EF4-FFF2-40B4-BE49-F238E27FC236}">
              <a16:creationId xmlns:a16="http://schemas.microsoft.com/office/drawing/2014/main" id="{8EC087A3-FBFF-4EE9-8C96-AC230FEB3B7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1526</xdr:row>
      <xdr:rowOff>87630</xdr:rowOff>
    </xdr:from>
    <xdr:to>
      <xdr:col>9</xdr:col>
      <xdr:colOff>0</xdr:colOff>
      <xdr:row>1526</xdr:row>
      <xdr:rowOff>87630</xdr:rowOff>
    </xdr:to>
    <xdr:cxnSp macro="">
      <xdr:nvCxnSpPr>
        <xdr:cNvPr id="157" name="Conector reto 156">
          <a:extLst>
            <a:ext uri="{FF2B5EF4-FFF2-40B4-BE49-F238E27FC236}">
              <a16:creationId xmlns:a16="http://schemas.microsoft.com/office/drawing/2014/main" id="{005B86CC-2FB3-4C1A-B25B-760E5B44B6BE}"/>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1534</xdr:row>
      <xdr:rowOff>87630</xdr:rowOff>
    </xdr:from>
    <xdr:to>
      <xdr:col>9</xdr:col>
      <xdr:colOff>0</xdr:colOff>
      <xdr:row>1534</xdr:row>
      <xdr:rowOff>87630</xdr:rowOff>
    </xdr:to>
    <xdr:cxnSp macro="">
      <xdr:nvCxnSpPr>
        <xdr:cNvPr id="158" name="Conector reto 157">
          <a:extLst>
            <a:ext uri="{FF2B5EF4-FFF2-40B4-BE49-F238E27FC236}">
              <a16:creationId xmlns:a16="http://schemas.microsoft.com/office/drawing/2014/main" id="{EE0AA3FA-5B54-461E-BD62-BBB7633A6CAF}"/>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1541</xdr:row>
      <xdr:rowOff>87630</xdr:rowOff>
    </xdr:from>
    <xdr:to>
      <xdr:col>9</xdr:col>
      <xdr:colOff>0</xdr:colOff>
      <xdr:row>1541</xdr:row>
      <xdr:rowOff>87630</xdr:rowOff>
    </xdr:to>
    <xdr:cxnSp macro="">
      <xdr:nvCxnSpPr>
        <xdr:cNvPr id="159" name="Conector reto 158">
          <a:extLst>
            <a:ext uri="{FF2B5EF4-FFF2-40B4-BE49-F238E27FC236}">
              <a16:creationId xmlns:a16="http://schemas.microsoft.com/office/drawing/2014/main" id="{60142321-B1D7-4EA1-BC1E-D1C08634F911}"/>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1549</xdr:row>
      <xdr:rowOff>87630</xdr:rowOff>
    </xdr:from>
    <xdr:to>
      <xdr:col>9</xdr:col>
      <xdr:colOff>0</xdr:colOff>
      <xdr:row>1549</xdr:row>
      <xdr:rowOff>87630</xdr:rowOff>
    </xdr:to>
    <xdr:cxnSp macro="">
      <xdr:nvCxnSpPr>
        <xdr:cNvPr id="160" name="Conector reto 159">
          <a:extLst>
            <a:ext uri="{FF2B5EF4-FFF2-40B4-BE49-F238E27FC236}">
              <a16:creationId xmlns:a16="http://schemas.microsoft.com/office/drawing/2014/main" id="{D51E47C7-06AC-4712-8867-B888F485CAA5}"/>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1556</xdr:row>
      <xdr:rowOff>87630</xdr:rowOff>
    </xdr:from>
    <xdr:to>
      <xdr:col>9</xdr:col>
      <xdr:colOff>0</xdr:colOff>
      <xdr:row>1556</xdr:row>
      <xdr:rowOff>87630</xdr:rowOff>
    </xdr:to>
    <xdr:cxnSp macro="">
      <xdr:nvCxnSpPr>
        <xdr:cNvPr id="161" name="Conector reto 160">
          <a:extLst>
            <a:ext uri="{FF2B5EF4-FFF2-40B4-BE49-F238E27FC236}">
              <a16:creationId xmlns:a16="http://schemas.microsoft.com/office/drawing/2014/main" id="{9C25F7F6-4311-4690-9BE3-495414F55743}"/>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1563</xdr:row>
      <xdr:rowOff>87630</xdr:rowOff>
    </xdr:from>
    <xdr:to>
      <xdr:col>9</xdr:col>
      <xdr:colOff>0</xdr:colOff>
      <xdr:row>1563</xdr:row>
      <xdr:rowOff>87630</xdr:rowOff>
    </xdr:to>
    <xdr:cxnSp macro="">
      <xdr:nvCxnSpPr>
        <xdr:cNvPr id="162" name="Conector reto 161">
          <a:extLst>
            <a:ext uri="{FF2B5EF4-FFF2-40B4-BE49-F238E27FC236}">
              <a16:creationId xmlns:a16="http://schemas.microsoft.com/office/drawing/2014/main" id="{5732C097-8F12-44F1-B85C-432B808DE6F6}"/>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1571</xdr:row>
      <xdr:rowOff>87630</xdr:rowOff>
    </xdr:from>
    <xdr:to>
      <xdr:col>9</xdr:col>
      <xdr:colOff>0</xdr:colOff>
      <xdr:row>1571</xdr:row>
      <xdr:rowOff>87630</xdr:rowOff>
    </xdr:to>
    <xdr:cxnSp macro="">
      <xdr:nvCxnSpPr>
        <xdr:cNvPr id="163" name="Conector reto 162">
          <a:extLst>
            <a:ext uri="{FF2B5EF4-FFF2-40B4-BE49-F238E27FC236}">
              <a16:creationId xmlns:a16="http://schemas.microsoft.com/office/drawing/2014/main" id="{2FEBBA37-742A-4C67-BA23-6A83B4B89E79}"/>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1579</xdr:row>
      <xdr:rowOff>87630</xdr:rowOff>
    </xdr:from>
    <xdr:to>
      <xdr:col>9</xdr:col>
      <xdr:colOff>0</xdr:colOff>
      <xdr:row>1579</xdr:row>
      <xdr:rowOff>87630</xdr:rowOff>
    </xdr:to>
    <xdr:cxnSp macro="">
      <xdr:nvCxnSpPr>
        <xdr:cNvPr id="164" name="Conector reto 163">
          <a:extLst>
            <a:ext uri="{FF2B5EF4-FFF2-40B4-BE49-F238E27FC236}">
              <a16:creationId xmlns:a16="http://schemas.microsoft.com/office/drawing/2014/main" id="{47073D57-0E88-4CB3-92CB-C7290C2B87AA}"/>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1585</xdr:row>
      <xdr:rowOff>87630</xdr:rowOff>
    </xdr:from>
    <xdr:to>
      <xdr:col>9</xdr:col>
      <xdr:colOff>0</xdr:colOff>
      <xdr:row>1585</xdr:row>
      <xdr:rowOff>87630</xdr:rowOff>
    </xdr:to>
    <xdr:cxnSp macro="">
      <xdr:nvCxnSpPr>
        <xdr:cNvPr id="165" name="Conector reto 164">
          <a:extLst>
            <a:ext uri="{FF2B5EF4-FFF2-40B4-BE49-F238E27FC236}">
              <a16:creationId xmlns:a16="http://schemas.microsoft.com/office/drawing/2014/main" id="{5F6A370F-0D93-40BB-ADC8-C349EE29FBD6}"/>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1592</xdr:row>
      <xdr:rowOff>87630</xdr:rowOff>
    </xdr:from>
    <xdr:to>
      <xdr:col>9</xdr:col>
      <xdr:colOff>0</xdr:colOff>
      <xdr:row>1592</xdr:row>
      <xdr:rowOff>87630</xdr:rowOff>
    </xdr:to>
    <xdr:cxnSp macro="">
      <xdr:nvCxnSpPr>
        <xdr:cNvPr id="166" name="Conector reto 165">
          <a:extLst>
            <a:ext uri="{FF2B5EF4-FFF2-40B4-BE49-F238E27FC236}">
              <a16:creationId xmlns:a16="http://schemas.microsoft.com/office/drawing/2014/main" id="{287A5271-074B-458C-B3D6-F3A9006C574A}"/>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1599</xdr:row>
      <xdr:rowOff>87630</xdr:rowOff>
    </xdr:from>
    <xdr:to>
      <xdr:col>9</xdr:col>
      <xdr:colOff>0</xdr:colOff>
      <xdr:row>1599</xdr:row>
      <xdr:rowOff>87630</xdr:rowOff>
    </xdr:to>
    <xdr:cxnSp macro="">
      <xdr:nvCxnSpPr>
        <xdr:cNvPr id="167" name="Conector reto 166">
          <a:extLst>
            <a:ext uri="{FF2B5EF4-FFF2-40B4-BE49-F238E27FC236}">
              <a16:creationId xmlns:a16="http://schemas.microsoft.com/office/drawing/2014/main" id="{6D5EDBFA-0940-414B-AA98-28147D471398}"/>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1607</xdr:row>
      <xdr:rowOff>87630</xdr:rowOff>
    </xdr:from>
    <xdr:to>
      <xdr:col>9</xdr:col>
      <xdr:colOff>0</xdr:colOff>
      <xdr:row>1607</xdr:row>
      <xdr:rowOff>87630</xdr:rowOff>
    </xdr:to>
    <xdr:cxnSp macro="">
      <xdr:nvCxnSpPr>
        <xdr:cNvPr id="168" name="Conector reto 167">
          <a:extLst>
            <a:ext uri="{FF2B5EF4-FFF2-40B4-BE49-F238E27FC236}">
              <a16:creationId xmlns:a16="http://schemas.microsoft.com/office/drawing/2014/main" id="{C694CFFC-E5AA-4E1C-80AE-6FCD68592D49}"/>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1614</xdr:row>
      <xdr:rowOff>87630</xdr:rowOff>
    </xdr:from>
    <xdr:to>
      <xdr:col>9</xdr:col>
      <xdr:colOff>0</xdr:colOff>
      <xdr:row>1614</xdr:row>
      <xdr:rowOff>87630</xdr:rowOff>
    </xdr:to>
    <xdr:cxnSp macro="">
      <xdr:nvCxnSpPr>
        <xdr:cNvPr id="169" name="Conector reto 168">
          <a:extLst>
            <a:ext uri="{FF2B5EF4-FFF2-40B4-BE49-F238E27FC236}">
              <a16:creationId xmlns:a16="http://schemas.microsoft.com/office/drawing/2014/main" id="{D38D026D-60EB-4048-AC3A-DCD59FAF47EF}"/>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1622</xdr:row>
      <xdr:rowOff>87630</xdr:rowOff>
    </xdr:from>
    <xdr:to>
      <xdr:col>9</xdr:col>
      <xdr:colOff>0</xdr:colOff>
      <xdr:row>1622</xdr:row>
      <xdr:rowOff>87630</xdr:rowOff>
    </xdr:to>
    <xdr:cxnSp macro="">
      <xdr:nvCxnSpPr>
        <xdr:cNvPr id="170" name="Conector reto 169">
          <a:extLst>
            <a:ext uri="{FF2B5EF4-FFF2-40B4-BE49-F238E27FC236}">
              <a16:creationId xmlns:a16="http://schemas.microsoft.com/office/drawing/2014/main" id="{3E49D6DC-7FDB-42F7-AC0C-6C75058BFEB5}"/>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1630</xdr:row>
      <xdr:rowOff>87630</xdr:rowOff>
    </xdr:from>
    <xdr:to>
      <xdr:col>9</xdr:col>
      <xdr:colOff>0</xdr:colOff>
      <xdr:row>1630</xdr:row>
      <xdr:rowOff>87630</xdr:rowOff>
    </xdr:to>
    <xdr:cxnSp macro="">
      <xdr:nvCxnSpPr>
        <xdr:cNvPr id="171" name="Conector reto 170">
          <a:extLst>
            <a:ext uri="{FF2B5EF4-FFF2-40B4-BE49-F238E27FC236}">
              <a16:creationId xmlns:a16="http://schemas.microsoft.com/office/drawing/2014/main" id="{20297D1A-19C0-4FCE-AC91-D2642C6B2874}"/>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1638</xdr:row>
      <xdr:rowOff>87630</xdr:rowOff>
    </xdr:from>
    <xdr:to>
      <xdr:col>9</xdr:col>
      <xdr:colOff>0</xdr:colOff>
      <xdr:row>1638</xdr:row>
      <xdr:rowOff>87630</xdr:rowOff>
    </xdr:to>
    <xdr:cxnSp macro="">
      <xdr:nvCxnSpPr>
        <xdr:cNvPr id="172" name="Conector reto 171">
          <a:extLst>
            <a:ext uri="{FF2B5EF4-FFF2-40B4-BE49-F238E27FC236}">
              <a16:creationId xmlns:a16="http://schemas.microsoft.com/office/drawing/2014/main" id="{4ACF76F9-819C-4083-9E97-F7E991C9A364}"/>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1645</xdr:row>
      <xdr:rowOff>87630</xdr:rowOff>
    </xdr:from>
    <xdr:to>
      <xdr:col>9</xdr:col>
      <xdr:colOff>0</xdr:colOff>
      <xdr:row>1645</xdr:row>
      <xdr:rowOff>87630</xdr:rowOff>
    </xdr:to>
    <xdr:cxnSp macro="">
      <xdr:nvCxnSpPr>
        <xdr:cNvPr id="173" name="Conector reto 172">
          <a:extLst>
            <a:ext uri="{FF2B5EF4-FFF2-40B4-BE49-F238E27FC236}">
              <a16:creationId xmlns:a16="http://schemas.microsoft.com/office/drawing/2014/main" id="{6CAC7E89-E8F0-45CE-8F55-18D4B545998F}"/>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1655</xdr:row>
      <xdr:rowOff>87630</xdr:rowOff>
    </xdr:from>
    <xdr:to>
      <xdr:col>9</xdr:col>
      <xdr:colOff>0</xdr:colOff>
      <xdr:row>1655</xdr:row>
      <xdr:rowOff>87630</xdr:rowOff>
    </xdr:to>
    <xdr:cxnSp macro="">
      <xdr:nvCxnSpPr>
        <xdr:cNvPr id="174" name="Conector reto 173">
          <a:extLst>
            <a:ext uri="{FF2B5EF4-FFF2-40B4-BE49-F238E27FC236}">
              <a16:creationId xmlns:a16="http://schemas.microsoft.com/office/drawing/2014/main" id="{559278E2-BBD9-4201-A9CD-4EA64F0BA6EA}"/>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1665</xdr:row>
      <xdr:rowOff>87630</xdr:rowOff>
    </xdr:from>
    <xdr:to>
      <xdr:col>9</xdr:col>
      <xdr:colOff>0</xdr:colOff>
      <xdr:row>1665</xdr:row>
      <xdr:rowOff>87630</xdr:rowOff>
    </xdr:to>
    <xdr:cxnSp macro="">
      <xdr:nvCxnSpPr>
        <xdr:cNvPr id="175" name="Conector reto 174">
          <a:extLst>
            <a:ext uri="{FF2B5EF4-FFF2-40B4-BE49-F238E27FC236}">
              <a16:creationId xmlns:a16="http://schemas.microsoft.com/office/drawing/2014/main" id="{7BCF5BC1-B7D2-4A54-A4C3-DFE4EA6F3AE0}"/>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1675</xdr:row>
      <xdr:rowOff>87630</xdr:rowOff>
    </xdr:from>
    <xdr:to>
      <xdr:col>9</xdr:col>
      <xdr:colOff>0</xdr:colOff>
      <xdr:row>1675</xdr:row>
      <xdr:rowOff>87630</xdr:rowOff>
    </xdr:to>
    <xdr:cxnSp macro="">
      <xdr:nvCxnSpPr>
        <xdr:cNvPr id="176" name="Conector reto 175">
          <a:extLst>
            <a:ext uri="{FF2B5EF4-FFF2-40B4-BE49-F238E27FC236}">
              <a16:creationId xmlns:a16="http://schemas.microsoft.com/office/drawing/2014/main" id="{CB2901C9-54EC-4E7B-B720-395C55F3EE9A}"/>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1685</xdr:row>
      <xdr:rowOff>87630</xdr:rowOff>
    </xdr:from>
    <xdr:to>
      <xdr:col>9</xdr:col>
      <xdr:colOff>0</xdr:colOff>
      <xdr:row>1685</xdr:row>
      <xdr:rowOff>87630</xdr:rowOff>
    </xdr:to>
    <xdr:cxnSp macro="">
      <xdr:nvCxnSpPr>
        <xdr:cNvPr id="177" name="Conector reto 176">
          <a:extLst>
            <a:ext uri="{FF2B5EF4-FFF2-40B4-BE49-F238E27FC236}">
              <a16:creationId xmlns:a16="http://schemas.microsoft.com/office/drawing/2014/main" id="{4823E7BA-1E4C-4904-8409-16E45E1B3426}"/>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1694</xdr:row>
      <xdr:rowOff>87630</xdr:rowOff>
    </xdr:from>
    <xdr:to>
      <xdr:col>9</xdr:col>
      <xdr:colOff>0</xdr:colOff>
      <xdr:row>1694</xdr:row>
      <xdr:rowOff>87630</xdr:rowOff>
    </xdr:to>
    <xdr:cxnSp macro="">
      <xdr:nvCxnSpPr>
        <xdr:cNvPr id="178" name="Conector reto 177">
          <a:extLst>
            <a:ext uri="{FF2B5EF4-FFF2-40B4-BE49-F238E27FC236}">
              <a16:creationId xmlns:a16="http://schemas.microsoft.com/office/drawing/2014/main" id="{F075B29C-0262-469D-B373-AC952C9CEC9C}"/>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1704</xdr:row>
      <xdr:rowOff>87630</xdr:rowOff>
    </xdr:from>
    <xdr:to>
      <xdr:col>9</xdr:col>
      <xdr:colOff>0</xdr:colOff>
      <xdr:row>1704</xdr:row>
      <xdr:rowOff>87630</xdr:rowOff>
    </xdr:to>
    <xdr:cxnSp macro="">
      <xdr:nvCxnSpPr>
        <xdr:cNvPr id="179" name="Conector reto 178">
          <a:extLst>
            <a:ext uri="{FF2B5EF4-FFF2-40B4-BE49-F238E27FC236}">
              <a16:creationId xmlns:a16="http://schemas.microsoft.com/office/drawing/2014/main" id="{A8780F71-40B6-43E3-B92B-FA226BDAE214}"/>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1714</xdr:row>
      <xdr:rowOff>87630</xdr:rowOff>
    </xdr:from>
    <xdr:to>
      <xdr:col>9</xdr:col>
      <xdr:colOff>0</xdr:colOff>
      <xdr:row>1714</xdr:row>
      <xdr:rowOff>87630</xdr:rowOff>
    </xdr:to>
    <xdr:cxnSp macro="">
      <xdr:nvCxnSpPr>
        <xdr:cNvPr id="180" name="Conector reto 179">
          <a:extLst>
            <a:ext uri="{FF2B5EF4-FFF2-40B4-BE49-F238E27FC236}">
              <a16:creationId xmlns:a16="http://schemas.microsoft.com/office/drawing/2014/main" id="{CAFBDBBF-AA05-43BA-AC96-A8D24AEF37E7}"/>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1722</xdr:row>
      <xdr:rowOff>87630</xdr:rowOff>
    </xdr:from>
    <xdr:to>
      <xdr:col>9</xdr:col>
      <xdr:colOff>0</xdr:colOff>
      <xdr:row>1722</xdr:row>
      <xdr:rowOff>87630</xdr:rowOff>
    </xdr:to>
    <xdr:cxnSp macro="">
      <xdr:nvCxnSpPr>
        <xdr:cNvPr id="181" name="Conector reto 180">
          <a:extLst>
            <a:ext uri="{FF2B5EF4-FFF2-40B4-BE49-F238E27FC236}">
              <a16:creationId xmlns:a16="http://schemas.microsoft.com/office/drawing/2014/main" id="{97A2C98E-3D50-4922-9860-D0370B51B1B7}"/>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1730</xdr:row>
      <xdr:rowOff>87630</xdr:rowOff>
    </xdr:from>
    <xdr:to>
      <xdr:col>9</xdr:col>
      <xdr:colOff>0</xdr:colOff>
      <xdr:row>1730</xdr:row>
      <xdr:rowOff>87630</xdr:rowOff>
    </xdr:to>
    <xdr:cxnSp macro="">
      <xdr:nvCxnSpPr>
        <xdr:cNvPr id="182" name="Conector reto 181">
          <a:extLst>
            <a:ext uri="{FF2B5EF4-FFF2-40B4-BE49-F238E27FC236}">
              <a16:creationId xmlns:a16="http://schemas.microsoft.com/office/drawing/2014/main" id="{AE90AB59-0CE3-4E61-8976-60BA73395E81}"/>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1738</xdr:row>
      <xdr:rowOff>87630</xdr:rowOff>
    </xdr:from>
    <xdr:to>
      <xdr:col>9</xdr:col>
      <xdr:colOff>0</xdr:colOff>
      <xdr:row>1738</xdr:row>
      <xdr:rowOff>87630</xdr:rowOff>
    </xdr:to>
    <xdr:cxnSp macro="">
      <xdr:nvCxnSpPr>
        <xdr:cNvPr id="183" name="Conector reto 182">
          <a:extLst>
            <a:ext uri="{FF2B5EF4-FFF2-40B4-BE49-F238E27FC236}">
              <a16:creationId xmlns:a16="http://schemas.microsoft.com/office/drawing/2014/main" id="{15CD7326-37A7-451D-AAFD-9DD198ED0F36}"/>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1746</xdr:row>
      <xdr:rowOff>87630</xdr:rowOff>
    </xdr:from>
    <xdr:to>
      <xdr:col>9</xdr:col>
      <xdr:colOff>0</xdr:colOff>
      <xdr:row>1746</xdr:row>
      <xdr:rowOff>87630</xdr:rowOff>
    </xdr:to>
    <xdr:cxnSp macro="">
      <xdr:nvCxnSpPr>
        <xdr:cNvPr id="184" name="Conector reto 183">
          <a:extLst>
            <a:ext uri="{FF2B5EF4-FFF2-40B4-BE49-F238E27FC236}">
              <a16:creationId xmlns:a16="http://schemas.microsoft.com/office/drawing/2014/main" id="{153E1AB9-C94A-4187-A313-A93B83C945F6}"/>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1754</xdr:row>
      <xdr:rowOff>87630</xdr:rowOff>
    </xdr:from>
    <xdr:to>
      <xdr:col>9</xdr:col>
      <xdr:colOff>0</xdr:colOff>
      <xdr:row>1754</xdr:row>
      <xdr:rowOff>87630</xdr:rowOff>
    </xdr:to>
    <xdr:cxnSp macro="">
      <xdr:nvCxnSpPr>
        <xdr:cNvPr id="185" name="Conector reto 184">
          <a:extLst>
            <a:ext uri="{FF2B5EF4-FFF2-40B4-BE49-F238E27FC236}">
              <a16:creationId xmlns:a16="http://schemas.microsoft.com/office/drawing/2014/main" id="{3B749723-FEBE-4BEC-AA4E-23A0A3A1CFB2}"/>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1762</xdr:row>
      <xdr:rowOff>87630</xdr:rowOff>
    </xdr:from>
    <xdr:to>
      <xdr:col>9</xdr:col>
      <xdr:colOff>0</xdr:colOff>
      <xdr:row>1762</xdr:row>
      <xdr:rowOff>87630</xdr:rowOff>
    </xdr:to>
    <xdr:cxnSp macro="">
      <xdr:nvCxnSpPr>
        <xdr:cNvPr id="186" name="Conector reto 185">
          <a:extLst>
            <a:ext uri="{FF2B5EF4-FFF2-40B4-BE49-F238E27FC236}">
              <a16:creationId xmlns:a16="http://schemas.microsoft.com/office/drawing/2014/main" id="{1CBB31A1-D56A-48A7-86F4-5451BCFFAF99}"/>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1770</xdr:row>
      <xdr:rowOff>87630</xdr:rowOff>
    </xdr:from>
    <xdr:to>
      <xdr:col>9</xdr:col>
      <xdr:colOff>0</xdr:colOff>
      <xdr:row>1770</xdr:row>
      <xdr:rowOff>87630</xdr:rowOff>
    </xdr:to>
    <xdr:cxnSp macro="">
      <xdr:nvCxnSpPr>
        <xdr:cNvPr id="187" name="Conector reto 186">
          <a:extLst>
            <a:ext uri="{FF2B5EF4-FFF2-40B4-BE49-F238E27FC236}">
              <a16:creationId xmlns:a16="http://schemas.microsoft.com/office/drawing/2014/main" id="{2A08579B-386A-4CA6-A46A-5DA95709D561}"/>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1780</xdr:row>
      <xdr:rowOff>87630</xdr:rowOff>
    </xdr:from>
    <xdr:to>
      <xdr:col>9</xdr:col>
      <xdr:colOff>0</xdr:colOff>
      <xdr:row>1780</xdr:row>
      <xdr:rowOff>87630</xdr:rowOff>
    </xdr:to>
    <xdr:cxnSp macro="">
      <xdr:nvCxnSpPr>
        <xdr:cNvPr id="188" name="Conector reto 187">
          <a:extLst>
            <a:ext uri="{FF2B5EF4-FFF2-40B4-BE49-F238E27FC236}">
              <a16:creationId xmlns:a16="http://schemas.microsoft.com/office/drawing/2014/main" id="{12074FC9-1EA3-4010-9982-CBA84FCD8A68}"/>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1790</xdr:row>
      <xdr:rowOff>87630</xdr:rowOff>
    </xdr:from>
    <xdr:to>
      <xdr:col>9</xdr:col>
      <xdr:colOff>0</xdr:colOff>
      <xdr:row>1790</xdr:row>
      <xdr:rowOff>87630</xdr:rowOff>
    </xdr:to>
    <xdr:cxnSp macro="">
      <xdr:nvCxnSpPr>
        <xdr:cNvPr id="189" name="Conector reto 188">
          <a:extLst>
            <a:ext uri="{FF2B5EF4-FFF2-40B4-BE49-F238E27FC236}">
              <a16:creationId xmlns:a16="http://schemas.microsoft.com/office/drawing/2014/main" id="{3342BD4C-3157-451D-AB7E-4FB53932D022}"/>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1800</xdr:row>
      <xdr:rowOff>87630</xdr:rowOff>
    </xdr:from>
    <xdr:to>
      <xdr:col>9</xdr:col>
      <xdr:colOff>0</xdr:colOff>
      <xdr:row>1800</xdr:row>
      <xdr:rowOff>87630</xdr:rowOff>
    </xdr:to>
    <xdr:cxnSp macro="">
      <xdr:nvCxnSpPr>
        <xdr:cNvPr id="190" name="Conector reto 189">
          <a:extLst>
            <a:ext uri="{FF2B5EF4-FFF2-40B4-BE49-F238E27FC236}">
              <a16:creationId xmlns:a16="http://schemas.microsoft.com/office/drawing/2014/main" id="{37F9AA33-A651-4F3C-ABA9-697681C0CE69}"/>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1809</xdr:row>
      <xdr:rowOff>87630</xdr:rowOff>
    </xdr:from>
    <xdr:to>
      <xdr:col>9</xdr:col>
      <xdr:colOff>0</xdr:colOff>
      <xdr:row>1809</xdr:row>
      <xdr:rowOff>87630</xdr:rowOff>
    </xdr:to>
    <xdr:cxnSp macro="">
      <xdr:nvCxnSpPr>
        <xdr:cNvPr id="191" name="Conector reto 190">
          <a:extLst>
            <a:ext uri="{FF2B5EF4-FFF2-40B4-BE49-F238E27FC236}">
              <a16:creationId xmlns:a16="http://schemas.microsoft.com/office/drawing/2014/main" id="{698DB06B-64F4-40A7-B999-276EC47D6537}"/>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1819</xdr:row>
      <xdr:rowOff>87630</xdr:rowOff>
    </xdr:from>
    <xdr:to>
      <xdr:col>9</xdr:col>
      <xdr:colOff>0</xdr:colOff>
      <xdr:row>1819</xdr:row>
      <xdr:rowOff>87630</xdr:rowOff>
    </xdr:to>
    <xdr:cxnSp macro="">
      <xdr:nvCxnSpPr>
        <xdr:cNvPr id="192" name="Conector reto 191">
          <a:extLst>
            <a:ext uri="{FF2B5EF4-FFF2-40B4-BE49-F238E27FC236}">
              <a16:creationId xmlns:a16="http://schemas.microsoft.com/office/drawing/2014/main" id="{6A5F04B3-EE2A-436D-A3A8-BE04D125A05F}"/>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1828</xdr:row>
      <xdr:rowOff>87630</xdr:rowOff>
    </xdr:from>
    <xdr:to>
      <xdr:col>9</xdr:col>
      <xdr:colOff>0</xdr:colOff>
      <xdr:row>1828</xdr:row>
      <xdr:rowOff>87630</xdr:rowOff>
    </xdr:to>
    <xdr:cxnSp macro="">
      <xdr:nvCxnSpPr>
        <xdr:cNvPr id="193" name="Conector reto 192">
          <a:extLst>
            <a:ext uri="{FF2B5EF4-FFF2-40B4-BE49-F238E27FC236}">
              <a16:creationId xmlns:a16="http://schemas.microsoft.com/office/drawing/2014/main" id="{3D7F91A8-503B-4CAD-B33F-D62C3C067A31}"/>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1838</xdr:row>
      <xdr:rowOff>87630</xdr:rowOff>
    </xdr:from>
    <xdr:to>
      <xdr:col>9</xdr:col>
      <xdr:colOff>0</xdr:colOff>
      <xdr:row>1838</xdr:row>
      <xdr:rowOff>87630</xdr:rowOff>
    </xdr:to>
    <xdr:cxnSp macro="">
      <xdr:nvCxnSpPr>
        <xdr:cNvPr id="194" name="Conector reto 193">
          <a:extLst>
            <a:ext uri="{FF2B5EF4-FFF2-40B4-BE49-F238E27FC236}">
              <a16:creationId xmlns:a16="http://schemas.microsoft.com/office/drawing/2014/main" id="{D731C63E-DD40-46BD-A072-1BD25756A898}"/>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1848</xdr:row>
      <xdr:rowOff>87630</xdr:rowOff>
    </xdr:from>
    <xdr:to>
      <xdr:col>9</xdr:col>
      <xdr:colOff>0</xdr:colOff>
      <xdr:row>1848</xdr:row>
      <xdr:rowOff>87630</xdr:rowOff>
    </xdr:to>
    <xdr:cxnSp macro="">
      <xdr:nvCxnSpPr>
        <xdr:cNvPr id="195" name="Conector reto 194">
          <a:extLst>
            <a:ext uri="{FF2B5EF4-FFF2-40B4-BE49-F238E27FC236}">
              <a16:creationId xmlns:a16="http://schemas.microsoft.com/office/drawing/2014/main" id="{B9E9EFFD-50A0-4B43-A34B-5E52337776A7}"/>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1858</xdr:row>
      <xdr:rowOff>87630</xdr:rowOff>
    </xdr:from>
    <xdr:to>
      <xdr:col>9</xdr:col>
      <xdr:colOff>0</xdr:colOff>
      <xdr:row>1858</xdr:row>
      <xdr:rowOff>87630</xdr:rowOff>
    </xdr:to>
    <xdr:cxnSp macro="">
      <xdr:nvCxnSpPr>
        <xdr:cNvPr id="196" name="Conector reto 195">
          <a:extLst>
            <a:ext uri="{FF2B5EF4-FFF2-40B4-BE49-F238E27FC236}">
              <a16:creationId xmlns:a16="http://schemas.microsoft.com/office/drawing/2014/main" id="{B55BD734-8CDF-45ED-82FD-0798D941B559}"/>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1868</xdr:row>
      <xdr:rowOff>87630</xdr:rowOff>
    </xdr:from>
    <xdr:to>
      <xdr:col>9</xdr:col>
      <xdr:colOff>0</xdr:colOff>
      <xdr:row>1868</xdr:row>
      <xdr:rowOff>87630</xdr:rowOff>
    </xdr:to>
    <xdr:cxnSp macro="">
      <xdr:nvCxnSpPr>
        <xdr:cNvPr id="197" name="Conector reto 196">
          <a:extLst>
            <a:ext uri="{FF2B5EF4-FFF2-40B4-BE49-F238E27FC236}">
              <a16:creationId xmlns:a16="http://schemas.microsoft.com/office/drawing/2014/main" id="{DC69A194-45E4-4412-BB4D-4D9CEF5B7822}"/>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1876</xdr:row>
      <xdr:rowOff>87630</xdr:rowOff>
    </xdr:from>
    <xdr:to>
      <xdr:col>9</xdr:col>
      <xdr:colOff>0</xdr:colOff>
      <xdr:row>1876</xdr:row>
      <xdr:rowOff>87630</xdr:rowOff>
    </xdr:to>
    <xdr:cxnSp macro="">
      <xdr:nvCxnSpPr>
        <xdr:cNvPr id="198" name="Conector reto 197">
          <a:extLst>
            <a:ext uri="{FF2B5EF4-FFF2-40B4-BE49-F238E27FC236}">
              <a16:creationId xmlns:a16="http://schemas.microsoft.com/office/drawing/2014/main" id="{A90D59BF-AF2D-4FD8-B257-77D28567C36C}"/>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1883</xdr:row>
      <xdr:rowOff>87630</xdr:rowOff>
    </xdr:from>
    <xdr:to>
      <xdr:col>9</xdr:col>
      <xdr:colOff>0</xdr:colOff>
      <xdr:row>1883</xdr:row>
      <xdr:rowOff>87630</xdr:rowOff>
    </xdr:to>
    <xdr:cxnSp macro="">
      <xdr:nvCxnSpPr>
        <xdr:cNvPr id="199" name="Conector reto 198">
          <a:extLst>
            <a:ext uri="{FF2B5EF4-FFF2-40B4-BE49-F238E27FC236}">
              <a16:creationId xmlns:a16="http://schemas.microsoft.com/office/drawing/2014/main" id="{5E079D05-894D-4222-9D2C-B63DB14D1E1C}"/>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1892</xdr:row>
      <xdr:rowOff>87630</xdr:rowOff>
    </xdr:from>
    <xdr:to>
      <xdr:col>9</xdr:col>
      <xdr:colOff>0</xdr:colOff>
      <xdr:row>1892</xdr:row>
      <xdr:rowOff>87630</xdr:rowOff>
    </xdr:to>
    <xdr:cxnSp macro="">
      <xdr:nvCxnSpPr>
        <xdr:cNvPr id="200" name="Conector reto 199">
          <a:extLst>
            <a:ext uri="{FF2B5EF4-FFF2-40B4-BE49-F238E27FC236}">
              <a16:creationId xmlns:a16="http://schemas.microsoft.com/office/drawing/2014/main" id="{B38D337E-616E-4E12-B000-DE0ED1745F24}"/>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1899</xdr:row>
      <xdr:rowOff>87630</xdr:rowOff>
    </xdr:from>
    <xdr:to>
      <xdr:col>9</xdr:col>
      <xdr:colOff>0</xdr:colOff>
      <xdr:row>1899</xdr:row>
      <xdr:rowOff>87630</xdr:rowOff>
    </xdr:to>
    <xdr:cxnSp macro="">
      <xdr:nvCxnSpPr>
        <xdr:cNvPr id="201" name="Conector reto 200">
          <a:extLst>
            <a:ext uri="{FF2B5EF4-FFF2-40B4-BE49-F238E27FC236}">
              <a16:creationId xmlns:a16="http://schemas.microsoft.com/office/drawing/2014/main" id="{E0F23E92-A894-42A7-B15C-C00E9B6DB99D}"/>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1905</xdr:row>
      <xdr:rowOff>87630</xdr:rowOff>
    </xdr:from>
    <xdr:to>
      <xdr:col>9</xdr:col>
      <xdr:colOff>0</xdr:colOff>
      <xdr:row>1905</xdr:row>
      <xdr:rowOff>87630</xdr:rowOff>
    </xdr:to>
    <xdr:cxnSp macro="">
      <xdr:nvCxnSpPr>
        <xdr:cNvPr id="202" name="Conector reto 201">
          <a:extLst>
            <a:ext uri="{FF2B5EF4-FFF2-40B4-BE49-F238E27FC236}">
              <a16:creationId xmlns:a16="http://schemas.microsoft.com/office/drawing/2014/main" id="{6FD0352C-E457-43FA-88ED-AAA70EF47BEA}"/>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1911</xdr:row>
      <xdr:rowOff>87630</xdr:rowOff>
    </xdr:from>
    <xdr:to>
      <xdr:col>9</xdr:col>
      <xdr:colOff>0</xdr:colOff>
      <xdr:row>1911</xdr:row>
      <xdr:rowOff>87630</xdr:rowOff>
    </xdr:to>
    <xdr:cxnSp macro="">
      <xdr:nvCxnSpPr>
        <xdr:cNvPr id="203" name="Conector reto 202">
          <a:extLst>
            <a:ext uri="{FF2B5EF4-FFF2-40B4-BE49-F238E27FC236}">
              <a16:creationId xmlns:a16="http://schemas.microsoft.com/office/drawing/2014/main" id="{7AC7AC79-2AEB-417E-963B-6A02B0A5EA45}"/>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1919</xdr:row>
      <xdr:rowOff>87630</xdr:rowOff>
    </xdr:from>
    <xdr:to>
      <xdr:col>9</xdr:col>
      <xdr:colOff>0</xdr:colOff>
      <xdr:row>1919</xdr:row>
      <xdr:rowOff>87630</xdr:rowOff>
    </xdr:to>
    <xdr:cxnSp macro="">
      <xdr:nvCxnSpPr>
        <xdr:cNvPr id="204" name="Conector reto 203">
          <a:extLst>
            <a:ext uri="{FF2B5EF4-FFF2-40B4-BE49-F238E27FC236}">
              <a16:creationId xmlns:a16="http://schemas.microsoft.com/office/drawing/2014/main" id="{17ACD47B-A2B1-4D9B-9E51-7B0F5C49E1AE}"/>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1928</xdr:row>
      <xdr:rowOff>87630</xdr:rowOff>
    </xdr:from>
    <xdr:to>
      <xdr:col>9</xdr:col>
      <xdr:colOff>0</xdr:colOff>
      <xdr:row>1928</xdr:row>
      <xdr:rowOff>87630</xdr:rowOff>
    </xdr:to>
    <xdr:cxnSp macro="">
      <xdr:nvCxnSpPr>
        <xdr:cNvPr id="205" name="Conector reto 204">
          <a:extLst>
            <a:ext uri="{FF2B5EF4-FFF2-40B4-BE49-F238E27FC236}">
              <a16:creationId xmlns:a16="http://schemas.microsoft.com/office/drawing/2014/main" id="{B5614D45-5BE2-404C-9086-DEF2164E6E81}"/>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1937</xdr:row>
      <xdr:rowOff>87630</xdr:rowOff>
    </xdr:from>
    <xdr:to>
      <xdr:col>9</xdr:col>
      <xdr:colOff>0</xdr:colOff>
      <xdr:row>1937</xdr:row>
      <xdr:rowOff>87630</xdr:rowOff>
    </xdr:to>
    <xdr:cxnSp macro="">
      <xdr:nvCxnSpPr>
        <xdr:cNvPr id="206" name="Conector reto 205">
          <a:extLst>
            <a:ext uri="{FF2B5EF4-FFF2-40B4-BE49-F238E27FC236}">
              <a16:creationId xmlns:a16="http://schemas.microsoft.com/office/drawing/2014/main" id="{D964373E-6CC0-4FE4-B0A3-1D6076475C4F}"/>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1945</xdr:row>
      <xdr:rowOff>87630</xdr:rowOff>
    </xdr:from>
    <xdr:to>
      <xdr:col>9</xdr:col>
      <xdr:colOff>0</xdr:colOff>
      <xdr:row>1945</xdr:row>
      <xdr:rowOff>87630</xdr:rowOff>
    </xdr:to>
    <xdr:cxnSp macro="">
      <xdr:nvCxnSpPr>
        <xdr:cNvPr id="207" name="Conector reto 206">
          <a:extLst>
            <a:ext uri="{FF2B5EF4-FFF2-40B4-BE49-F238E27FC236}">
              <a16:creationId xmlns:a16="http://schemas.microsoft.com/office/drawing/2014/main" id="{3B8FC0FE-9D2F-4E8B-93B3-EE408AF36E75}"/>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1953</xdr:row>
      <xdr:rowOff>87630</xdr:rowOff>
    </xdr:from>
    <xdr:to>
      <xdr:col>9</xdr:col>
      <xdr:colOff>0</xdr:colOff>
      <xdr:row>1953</xdr:row>
      <xdr:rowOff>87630</xdr:rowOff>
    </xdr:to>
    <xdr:cxnSp macro="">
      <xdr:nvCxnSpPr>
        <xdr:cNvPr id="208" name="Conector reto 207">
          <a:extLst>
            <a:ext uri="{FF2B5EF4-FFF2-40B4-BE49-F238E27FC236}">
              <a16:creationId xmlns:a16="http://schemas.microsoft.com/office/drawing/2014/main" id="{28454C22-91CB-4FB9-97F3-A3D41915A589}"/>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1961</xdr:row>
      <xdr:rowOff>87630</xdr:rowOff>
    </xdr:from>
    <xdr:to>
      <xdr:col>9</xdr:col>
      <xdr:colOff>0</xdr:colOff>
      <xdr:row>1961</xdr:row>
      <xdr:rowOff>87630</xdr:rowOff>
    </xdr:to>
    <xdr:cxnSp macro="">
      <xdr:nvCxnSpPr>
        <xdr:cNvPr id="209" name="Conector reto 208">
          <a:extLst>
            <a:ext uri="{FF2B5EF4-FFF2-40B4-BE49-F238E27FC236}">
              <a16:creationId xmlns:a16="http://schemas.microsoft.com/office/drawing/2014/main" id="{6CC1C124-BBD7-4BA0-9879-0112B8F600B2}"/>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1969</xdr:row>
      <xdr:rowOff>87630</xdr:rowOff>
    </xdr:from>
    <xdr:to>
      <xdr:col>9</xdr:col>
      <xdr:colOff>0</xdr:colOff>
      <xdr:row>1969</xdr:row>
      <xdr:rowOff>87630</xdr:rowOff>
    </xdr:to>
    <xdr:cxnSp macro="">
      <xdr:nvCxnSpPr>
        <xdr:cNvPr id="210" name="Conector reto 209">
          <a:extLst>
            <a:ext uri="{FF2B5EF4-FFF2-40B4-BE49-F238E27FC236}">
              <a16:creationId xmlns:a16="http://schemas.microsoft.com/office/drawing/2014/main" id="{93712F9D-AACE-4211-B8C8-BF1948BC8C01}"/>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1977</xdr:row>
      <xdr:rowOff>87630</xdr:rowOff>
    </xdr:from>
    <xdr:to>
      <xdr:col>9</xdr:col>
      <xdr:colOff>0</xdr:colOff>
      <xdr:row>1977</xdr:row>
      <xdr:rowOff>87630</xdr:rowOff>
    </xdr:to>
    <xdr:cxnSp macro="">
      <xdr:nvCxnSpPr>
        <xdr:cNvPr id="211" name="Conector reto 210">
          <a:extLst>
            <a:ext uri="{FF2B5EF4-FFF2-40B4-BE49-F238E27FC236}">
              <a16:creationId xmlns:a16="http://schemas.microsoft.com/office/drawing/2014/main" id="{E8DAC26A-74DC-4DB8-AEC8-AF98870FF30F}"/>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1985</xdr:row>
      <xdr:rowOff>87630</xdr:rowOff>
    </xdr:from>
    <xdr:to>
      <xdr:col>9</xdr:col>
      <xdr:colOff>0</xdr:colOff>
      <xdr:row>1985</xdr:row>
      <xdr:rowOff>87630</xdr:rowOff>
    </xdr:to>
    <xdr:cxnSp macro="">
      <xdr:nvCxnSpPr>
        <xdr:cNvPr id="212" name="Conector reto 211">
          <a:extLst>
            <a:ext uri="{FF2B5EF4-FFF2-40B4-BE49-F238E27FC236}">
              <a16:creationId xmlns:a16="http://schemas.microsoft.com/office/drawing/2014/main" id="{FD2D74C0-0B2D-4C2C-B9EE-7AC9A6DBCDD1}"/>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1993</xdr:row>
      <xdr:rowOff>87630</xdr:rowOff>
    </xdr:from>
    <xdr:to>
      <xdr:col>9</xdr:col>
      <xdr:colOff>0</xdr:colOff>
      <xdr:row>1993</xdr:row>
      <xdr:rowOff>87630</xdr:rowOff>
    </xdr:to>
    <xdr:cxnSp macro="">
      <xdr:nvCxnSpPr>
        <xdr:cNvPr id="213" name="Conector reto 212">
          <a:extLst>
            <a:ext uri="{FF2B5EF4-FFF2-40B4-BE49-F238E27FC236}">
              <a16:creationId xmlns:a16="http://schemas.microsoft.com/office/drawing/2014/main" id="{DBF2A33C-C9B3-4B7C-B99C-E77CB5DA402B}"/>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2001</xdr:row>
      <xdr:rowOff>87630</xdr:rowOff>
    </xdr:from>
    <xdr:to>
      <xdr:col>9</xdr:col>
      <xdr:colOff>0</xdr:colOff>
      <xdr:row>2001</xdr:row>
      <xdr:rowOff>87630</xdr:rowOff>
    </xdr:to>
    <xdr:cxnSp macro="">
      <xdr:nvCxnSpPr>
        <xdr:cNvPr id="214" name="Conector reto 213">
          <a:extLst>
            <a:ext uri="{FF2B5EF4-FFF2-40B4-BE49-F238E27FC236}">
              <a16:creationId xmlns:a16="http://schemas.microsoft.com/office/drawing/2014/main" id="{E86AB06C-1E57-4329-B306-2C765F5171FD}"/>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378</xdr:row>
      <xdr:rowOff>85725</xdr:rowOff>
    </xdr:from>
    <xdr:to>
      <xdr:col>8</xdr:col>
      <xdr:colOff>752475</xdr:colOff>
      <xdr:row>378</xdr:row>
      <xdr:rowOff>85725</xdr:rowOff>
    </xdr:to>
    <xdr:cxnSp macro="">
      <xdr:nvCxnSpPr>
        <xdr:cNvPr id="215" name="Conector reto 214">
          <a:extLst>
            <a:ext uri="{FF2B5EF4-FFF2-40B4-BE49-F238E27FC236}">
              <a16:creationId xmlns:a16="http://schemas.microsoft.com/office/drawing/2014/main" id="{71F9B3E6-D2C4-45F7-85A6-339D2BF0F2A3}"/>
            </a:ext>
          </a:extLst>
        </xdr:cNvPr>
        <xdr:cNvCxnSpPr/>
      </xdr:nvCxnSpPr>
      <xdr:spPr>
        <a:xfrm>
          <a:off x="0" y="16722090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2008</xdr:row>
      <xdr:rowOff>87630</xdr:rowOff>
    </xdr:from>
    <xdr:to>
      <xdr:col>9</xdr:col>
      <xdr:colOff>0</xdr:colOff>
      <xdr:row>2008</xdr:row>
      <xdr:rowOff>87630</xdr:rowOff>
    </xdr:to>
    <xdr:cxnSp macro="">
      <xdr:nvCxnSpPr>
        <xdr:cNvPr id="216" name="Conector reto 215">
          <a:extLst>
            <a:ext uri="{FF2B5EF4-FFF2-40B4-BE49-F238E27FC236}">
              <a16:creationId xmlns:a16="http://schemas.microsoft.com/office/drawing/2014/main" id="{E8A9F42B-95FE-4E36-BFA5-13D6F0670BEB}"/>
            </a:ext>
          </a:extLst>
        </xdr:cNvPr>
        <xdr:cNvCxnSpPr/>
      </xdr:nvCxnSpPr>
      <xdr:spPr>
        <a:xfrm>
          <a:off x="104775" y="59169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2018</xdr:row>
      <xdr:rowOff>87630</xdr:rowOff>
    </xdr:from>
    <xdr:to>
      <xdr:col>9</xdr:col>
      <xdr:colOff>0</xdr:colOff>
      <xdr:row>2018</xdr:row>
      <xdr:rowOff>87630</xdr:rowOff>
    </xdr:to>
    <xdr:cxnSp macro="">
      <xdr:nvCxnSpPr>
        <xdr:cNvPr id="217" name="Conector reto 216">
          <a:extLst>
            <a:ext uri="{FF2B5EF4-FFF2-40B4-BE49-F238E27FC236}">
              <a16:creationId xmlns:a16="http://schemas.microsoft.com/office/drawing/2014/main" id="{F9FCD948-7912-4577-ABEE-7ADEF49D2B0A}"/>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2025</xdr:row>
      <xdr:rowOff>87630</xdr:rowOff>
    </xdr:from>
    <xdr:to>
      <xdr:col>9</xdr:col>
      <xdr:colOff>0</xdr:colOff>
      <xdr:row>2025</xdr:row>
      <xdr:rowOff>87630</xdr:rowOff>
    </xdr:to>
    <xdr:cxnSp macro="">
      <xdr:nvCxnSpPr>
        <xdr:cNvPr id="218" name="Conector reto 217">
          <a:extLst>
            <a:ext uri="{FF2B5EF4-FFF2-40B4-BE49-F238E27FC236}">
              <a16:creationId xmlns:a16="http://schemas.microsoft.com/office/drawing/2014/main" id="{3A6C5A52-29BD-4387-8A21-EC855B4F934E}"/>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2032</xdr:row>
      <xdr:rowOff>87630</xdr:rowOff>
    </xdr:from>
    <xdr:to>
      <xdr:col>9</xdr:col>
      <xdr:colOff>0</xdr:colOff>
      <xdr:row>2032</xdr:row>
      <xdr:rowOff>87630</xdr:rowOff>
    </xdr:to>
    <xdr:cxnSp macro="">
      <xdr:nvCxnSpPr>
        <xdr:cNvPr id="219" name="Conector reto 218">
          <a:extLst>
            <a:ext uri="{FF2B5EF4-FFF2-40B4-BE49-F238E27FC236}">
              <a16:creationId xmlns:a16="http://schemas.microsoft.com/office/drawing/2014/main" id="{A9091238-70DE-4BE8-8DED-0AADF42DA638}"/>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2042</xdr:row>
      <xdr:rowOff>87630</xdr:rowOff>
    </xdr:from>
    <xdr:to>
      <xdr:col>9</xdr:col>
      <xdr:colOff>0</xdr:colOff>
      <xdr:row>2042</xdr:row>
      <xdr:rowOff>87630</xdr:rowOff>
    </xdr:to>
    <xdr:cxnSp macro="">
      <xdr:nvCxnSpPr>
        <xdr:cNvPr id="220" name="Conector reto 219">
          <a:extLst>
            <a:ext uri="{FF2B5EF4-FFF2-40B4-BE49-F238E27FC236}">
              <a16:creationId xmlns:a16="http://schemas.microsoft.com/office/drawing/2014/main" id="{F7EFA9F6-0A2C-4C78-8AA7-7C32C6DFFBE8}"/>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2054</xdr:row>
      <xdr:rowOff>87630</xdr:rowOff>
    </xdr:from>
    <xdr:to>
      <xdr:col>9</xdr:col>
      <xdr:colOff>0</xdr:colOff>
      <xdr:row>2054</xdr:row>
      <xdr:rowOff>87630</xdr:rowOff>
    </xdr:to>
    <xdr:cxnSp macro="">
      <xdr:nvCxnSpPr>
        <xdr:cNvPr id="221" name="Conector reto 220">
          <a:extLst>
            <a:ext uri="{FF2B5EF4-FFF2-40B4-BE49-F238E27FC236}">
              <a16:creationId xmlns:a16="http://schemas.microsoft.com/office/drawing/2014/main" id="{888E6DEB-B014-4CCF-929B-C68EAACBA49B}"/>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2063</xdr:row>
      <xdr:rowOff>87630</xdr:rowOff>
    </xdr:from>
    <xdr:to>
      <xdr:col>9</xdr:col>
      <xdr:colOff>0</xdr:colOff>
      <xdr:row>2063</xdr:row>
      <xdr:rowOff>87630</xdr:rowOff>
    </xdr:to>
    <xdr:cxnSp macro="">
      <xdr:nvCxnSpPr>
        <xdr:cNvPr id="222" name="Conector reto 221">
          <a:extLst>
            <a:ext uri="{FF2B5EF4-FFF2-40B4-BE49-F238E27FC236}">
              <a16:creationId xmlns:a16="http://schemas.microsoft.com/office/drawing/2014/main" id="{8E9C11BD-4716-4528-B037-2F2C986B6033}"/>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2072</xdr:row>
      <xdr:rowOff>87630</xdr:rowOff>
    </xdr:from>
    <xdr:to>
      <xdr:col>9</xdr:col>
      <xdr:colOff>0</xdr:colOff>
      <xdr:row>2072</xdr:row>
      <xdr:rowOff>87630</xdr:rowOff>
    </xdr:to>
    <xdr:cxnSp macro="">
      <xdr:nvCxnSpPr>
        <xdr:cNvPr id="223" name="Conector reto 222">
          <a:extLst>
            <a:ext uri="{FF2B5EF4-FFF2-40B4-BE49-F238E27FC236}">
              <a16:creationId xmlns:a16="http://schemas.microsoft.com/office/drawing/2014/main" id="{EC780C42-7718-49CE-9B20-864D5EAA577D}"/>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2081</xdr:row>
      <xdr:rowOff>87630</xdr:rowOff>
    </xdr:from>
    <xdr:to>
      <xdr:col>9</xdr:col>
      <xdr:colOff>0</xdr:colOff>
      <xdr:row>2081</xdr:row>
      <xdr:rowOff>87630</xdr:rowOff>
    </xdr:to>
    <xdr:cxnSp macro="">
      <xdr:nvCxnSpPr>
        <xdr:cNvPr id="224" name="Conector reto 223">
          <a:extLst>
            <a:ext uri="{FF2B5EF4-FFF2-40B4-BE49-F238E27FC236}">
              <a16:creationId xmlns:a16="http://schemas.microsoft.com/office/drawing/2014/main" id="{4D8BCCC6-12C5-4876-AC54-E19CF5E7A555}"/>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2091</xdr:row>
      <xdr:rowOff>87630</xdr:rowOff>
    </xdr:from>
    <xdr:to>
      <xdr:col>9</xdr:col>
      <xdr:colOff>0</xdr:colOff>
      <xdr:row>2091</xdr:row>
      <xdr:rowOff>87630</xdr:rowOff>
    </xdr:to>
    <xdr:cxnSp macro="">
      <xdr:nvCxnSpPr>
        <xdr:cNvPr id="225" name="Conector reto 224">
          <a:extLst>
            <a:ext uri="{FF2B5EF4-FFF2-40B4-BE49-F238E27FC236}">
              <a16:creationId xmlns:a16="http://schemas.microsoft.com/office/drawing/2014/main" id="{9BF19CA5-9C0A-4862-AB4F-C893F17744DF}"/>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2100</xdr:row>
      <xdr:rowOff>87630</xdr:rowOff>
    </xdr:from>
    <xdr:to>
      <xdr:col>9</xdr:col>
      <xdr:colOff>0</xdr:colOff>
      <xdr:row>2100</xdr:row>
      <xdr:rowOff>87630</xdr:rowOff>
    </xdr:to>
    <xdr:cxnSp macro="">
      <xdr:nvCxnSpPr>
        <xdr:cNvPr id="226" name="Conector reto 225">
          <a:extLst>
            <a:ext uri="{FF2B5EF4-FFF2-40B4-BE49-F238E27FC236}">
              <a16:creationId xmlns:a16="http://schemas.microsoft.com/office/drawing/2014/main" id="{C8F8B7BE-EA9D-46E4-9ACD-515BC64B002F}"/>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2109</xdr:row>
      <xdr:rowOff>87630</xdr:rowOff>
    </xdr:from>
    <xdr:to>
      <xdr:col>9</xdr:col>
      <xdr:colOff>0</xdr:colOff>
      <xdr:row>2109</xdr:row>
      <xdr:rowOff>87630</xdr:rowOff>
    </xdr:to>
    <xdr:cxnSp macro="">
      <xdr:nvCxnSpPr>
        <xdr:cNvPr id="227" name="Conector reto 226">
          <a:extLst>
            <a:ext uri="{FF2B5EF4-FFF2-40B4-BE49-F238E27FC236}">
              <a16:creationId xmlns:a16="http://schemas.microsoft.com/office/drawing/2014/main" id="{69E06C06-DBA4-42FC-B74D-407F69385482}"/>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2117</xdr:row>
      <xdr:rowOff>87630</xdr:rowOff>
    </xdr:from>
    <xdr:to>
      <xdr:col>9</xdr:col>
      <xdr:colOff>0</xdr:colOff>
      <xdr:row>2117</xdr:row>
      <xdr:rowOff>87630</xdr:rowOff>
    </xdr:to>
    <xdr:cxnSp macro="">
      <xdr:nvCxnSpPr>
        <xdr:cNvPr id="228" name="Conector reto 227">
          <a:extLst>
            <a:ext uri="{FF2B5EF4-FFF2-40B4-BE49-F238E27FC236}">
              <a16:creationId xmlns:a16="http://schemas.microsoft.com/office/drawing/2014/main" id="{82E7D36F-EDEE-4D90-B21A-1D9EEE56BB29}"/>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2127</xdr:row>
      <xdr:rowOff>87630</xdr:rowOff>
    </xdr:from>
    <xdr:to>
      <xdr:col>9</xdr:col>
      <xdr:colOff>0</xdr:colOff>
      <xdr:row>2127</xdr:row>
      <xdr:rowOff>87630</xdr:rowOff>
    </xdr:to>
    <xdr:cxnSp macro="">
      <xdr:nvCxnSpPr>
        <xdr:cNvPr id="229" name="Conector reto 228">
          <a:extLst>
            <a:ext uri="{FF2B5EF4-FFF2-40B4-BE49-F238E27FC236}">
              <a16:creationId xmlns:a16="http://schemas.microsoft.com/office/drawing/2014/main" id="{09554801-BDB4-45F6-8D31-2EF6483E5253}"/>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2136</xdr:row>
      <xdr:rowOff>87630</xdr:rowOff>
    </xdr:from>
    <xdr:to>
      <xdr:col>9</xdr:col>
      <xdr:colOff>0</xdr:colOff>
      <xdr:row>2136</xdr:row>
      <xdr:rowOff>87630</xdr:rowOff>
    </xdr:to>
    <xdr:cxnSp macro="">
      <xdr:nvCxnSpPr>
        <xdr:cNvPr id="230" name="Conector reto 229">
          <a:extLst>
            <a:ext uri="{FF2B5EF4-FFF2-40B4-BE49-F238E27FC236}">
              <a16:creationId xmlns:a16="http://schemas.microsoft.com/office/drawing/2014/main" id="{FFCB2883-AFD4-432C-B2F5-3D2DB4832AA6}"/>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2145</xdr:row>
      <xdr:rowOff>87630</xdr:rowOff>
    </xdr:from>
    <xdr:to>
      <xdr:col>9</xdr:col>
      <xdr:colOff>0</xdr:colOff>
      <xdr:row>2145</xdr:row>
      <xdr:rowOff>87630</xdr:rowOff>
    </xdr:to>
    <xdr:cxnSp macro="">
      <xdr:nvCxnSpPr>
        <xdr:cNvPr id="231" name="Conector reto 230">
          <a:extLst>
            <a:ext uri="{FF2B5EF4-FFF2-40B4-BE49-F238E27FC236}">
              <a16:creationId xmlns:a16="http://schemas.microsoft.com/office/drawing/2014/main" id="{9DC9FE25-5A30-4833-8B39-2FF54D7CC133}"/>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2153</xdr:row>
      <xdr:rowOff>87630</xdr:rowOff>
    </xdr:from>
    <xdr:to>
      <xdr:col>9</xdr:col>
      <xdr:colOff>0</xdr:colOff>
      <xdr:row>2153</xdr:row>
      <xdr:rowOff>87630</xdr:rowOff>
    </xdr:to>
    <xdr:cxnSp macro="">
      <xdr:nvCxnSpPr>
        <xdr:cNvPr id="232" name="Conector reto 231">
          <a:extLst>
            <a:ext uri="{FF2B5EF4-FFF2-40B4-BE49-F238E27FC236}">
              <a16:creationId xmlns:a16="http://schemas.microsoft.com/office/drawing/2014/main" id="{25C57CB9-F58C-48B4-91C8-9207DBA9CC5B}"/>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2161</xdr:row>
      <xdr:rowOff>87630</xdr:rowOff>
    </xdr:from>
    <xdr:to>
      <xdr:col>9</xdr:col>
      <xdr:colOff>0</xdr:colOff>
      <xdr:row>2161</xdr:row>
      <xdr:rowOff>87630</xdr:rowOff>
    </xdr:to>
    <xdr:cxnSp macro="">
      <xdr:nvCxnSpPr>
        <xdr:cNvPr id="233" name="Conector reto 232">
          <a:extLst>
            <a:ext uri="{FF2B5EF4-FFF2-40B4-BE49-F238E27FC236}">
              <a16:creationId xmlns:a16="http://schemas.microsoft.com/office/drawing/2014/main" id="{CB4AE940-A68F-49AD-B996-329FEFBFA421}"/>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2169</xdr:row>
      <xdr:rowOff>87630</xdr:rowOff>
    </xdr:from>
    <xdr:to>
      <xdr:col>9</xdr:col>
      <xdr:colOff>0</xdr:colOff>
      <xdr:row>2169</xdr:row>
      <xdr:rowOff>87630</xdr:rowOff>
    </xdr:to>
    <xdr:cxnSp macro="">
      <xdr:nvCxnSpPr>
        <xdr:cNvPr id="234" name="Conector reto 233">
          <a:extLst>
            <a:ext uri="{FF2B5EF4-FFF2-40B4-BE49-F238E27FC236}">
              <a16:creationId xmlns:a16="http://schemas.microsoft.com/office/drawing/2014/main" id="{EBB4DDAC-597C-4CC7-AC16-4B14C433AA3B}"/>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2189</xdr:row>
      <xdr:rowOff>87630</xdr:rowOff>
    </xdr:from>
    <xdr:to>
      <xdr:col>9</xdr:col>
      <xdr:colOff>0</xdr:colOff>
      <xdr:row>2189</xdr:row>
      <xdr:rowOff>87630</xdr:rowOff>
    </xdr:to>
    <xdr:cxnSp macro="">
      <xdr:nvCxnSpPr>
        <xdr:cNvPr id="235" name="Conector reto 234">
          <a:extLst>
            <a:ext uri="{FF2B5EF4-FFF2-40B4-BE49-F238E27FC236}">
              <a16:creationId xmlns:a16="http://schemas.microsoft.com/office/drawing/2014/main" id="{1212F064-EB31-44BE-9E78-C74C765562A7}"/>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2198</xdr:row>
      <xdr:rowOff>87630</xdr:rowOff>
    </xdr:from>
    <xdr:to>
      <xdr:col>9</xdr:col>
      <xdr:colOff>0</xdr:colOff>
      <xdr:row>2198</xdr:row>
      <xdr:rowOff>87630</xdr:rowOff>
    </xdr:to>
    <xdr:cxnSp macro="">
      <xdr:nvCxnSpPr>
        <xdr:cNvPr id="236" name="Conector reto 235">
          <a:extLst>
            <a:ext uri="{FF2B5EF4-FFF2-40B4-BE49-F238E27FC236}">
              <a16:creationId xmlns:a16="http://schemas.microsoft.com/office/drawing/2014/main" id="{63CA6CDF-A33D-4457-A92C-9F1A24AF7B40}"/>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2207</xdr:row>
      <xdr:rowOff>87630</xdr:rowOff>
    </xdr:from>
    <xdr:to>
      <xdr:col>9</xdr:col>
      <xdr:colOff>0</xdr:colOff>
      <xdr:row>2207</xdr:row>
      <xdr:rowOff>87630</xdr:rowOff>
    </xdr:to>
    <xdr:cxnSp macro="">
      <xdr:nvCxnSpPr>
        <xdr:cNvPr id="237" name="Conector reto 236">
          <a:extLst>
            <a:ext uri="{FF2B5EF4-FFF2-40B4-BE49-F238E27FC236}">
              <a16:creationId xmlns:a16="http://schemas.microsoft.com/office/drawing/2014/main" id="{DD0ECAC0-E46F-4218-ABBA-5EF32213B4E1}"/>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2216</xdr:row>
      <xdr:rowOff>87630</xdr:rowOff>
    </xdr:from>
    <xdr:to>
      <xdr:col>9</xdr:col>
      <xdr:colOff>0</xdr:colOff>
      <xdr:row>2216</xdr:row>
      <xdr:rowOff>87630</xdr:rowOff>
    </xdr:to>
    <xdr:cxnSp macro="">
      <xdr:nvCxnSpPr>
        <xdr:cNvPr id="238" name="Conector reto 237">
          <a:extLst>
            <a:ext uri="{FF2B5EF4-FFF2-40B4-BE49-F238E27FC236}">
              <a16:creationId xmlns:a16="http://schemas.microsoft.com/office/drawing/2014/main" id="{70975E83-445B-4D07-B551-27EC11A7F294}"/>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2225</xdr:row>
      <xdr:rowOff>87630</xdr:rowOff>
    </xdr:from>
    <xdr:to>
      <xdr:col>9</xdr:col>
      <xdr:colOff>0</xdr:colOff>
      <xdr:row>2225</xdr:row>
      <xdr:rowOff>87630</xdr:rowOff>
    </xdr:to>
    <xdr:cxnSp macro="">
      <xdr:nvCxnSpPr>
        <xdr:cNvPr id="239" name="Conector reto 238">
          <a:extLst>
            <a:ext uri="{FF2B5EF4-FFF2-40B4-BE49-F238E27FC236}">
              <a16:creationId xmlns:a16="http://schemas.microsoft.com/office/drawing/2014/main" id="{F525D655-9228-41B1-A12D-712D11A3A18C}"/>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2232</xdr:row>
      <xdr:rowOff>87630</xdr:rowOff>
    </xdr:from>
    <xdr:to>
      <xdr:col>9</xdr:col>
      <xdr:colOff>0</xdr:colOff>
      <xdr:row>2232</xdr:row>
      <xdr:rowOff>87630</xdr:rowOff>
    </xdr:to>
    <xdr:cxnSp macro="">
      <xdr:nvCxnSpPr>
        <xdr:cNvPr id="240" name="Conector reto 239">
          <a:extLst>
            <a:ext uri="{FF2B5EF4-FFF2-40B4-BE49-F238E27FC236}">
              <a16:creationId xmlns:a16="http://schemas.microsoft.com/office/drawing/2014/main" id="{E2D7C709-64FF-4D88-ACCD-E4532EC5FB08}"/>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2240</xdr:row>
      <xdr:rowOff>87630</xdr:rowOff>
    </xdr:from>
    <xdr:to>
      <xdr:col>9</xdr:col>
      <xdr:colOff>0</xdr:colOff>
      <xdr:row>2240</xdr:row>
      <xdr:rowOff>87630</xdr:rowOff>
    </xdr:to>
    <xdr:cxnSp macro="">
      <xdr:nvCxnSpPr>
        <xdr:cNvPr id="241" name="Conector reto 240">
          <a:extLst>
            <a:ext uri="{FF2B5EF4-FFF2-40B4-BE49-F238E27FC236}">
              <a16:creationId xmlns:a16="http://schemas.microsoft.com/office/drawing/2014/main" id="{3D0E59CC-B62E-431B-80BF-168B65C5469C}"/>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2248</xdr:row>
      <xdr:rowOff>87630</xdr:rowOff>
    </xdr:from>
    <xdr:to>
      <xdr:col>9</xdr:col>
      <xdr:colOff>0</xdr:colOff>
      <xdr:row>2248</xdr:row>
      <xdr:rowOff>87630</xdr:rowOff>
    </xdr:to>
    <xdr:cxnSp macro="">
      <xdr:nvCxnSpPr>
        <xdr:cNvPr id="242" name="Conector reto 241">
          <a:extLst>
            <a:ext uri="{FF2B5EF4-FFF2-40B4-BE49-F238E27FC236}">
              <a16:creationId xmlns:a16="http://schemas.microsoft.com/office/drawing/2014/main" id="{5E9DC18E-81F1-403A-B33E-F39C7A57B12D}"/>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2256</xdr:row>
      <xdr:rowOff>87630</xdr:rowOff>
    </xdr:from>
    <xdr:to>
      <xdr:col>9</xdr:col>
      <xdr:colOff>0</xdr:colOff>
      <xdr:row>2256</xdr:row>
      <xdr:rowOff>87630</xdr:rowOff>
    </xdr:to>
    <xdr:cxnSp macro="">
      <xdr:nvCxnSpPr>
        <xdr:cNvPr id="243" name="Conector reto 242">
          <a:extLst>
            <a:ext uri="{FF2B5EF4-FFF2-40B4-BE49-F238E27FC236}">
              <a16:creationId xmlns:a16="http://schemas.microsoft.com/office/drawing/2014/main" id="{1CD4741B-B6E0-4E83-B84D-0D18B38F88BF}"/>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2263</xdr:row>
      <xdr:rowOff>87630</xdr:rowOff>
    </xdr:from>
    <xdr:to>
      <xdr:col>9</xdr:col>
      <xdr:colOff>0</xdr:colOff>
      <xdr:row>2263</xdr:row>
      <xdr:rowOff>87630</xdr:rowOff>
    </xdr:to>
    <xdr:cxnSp macro="">
      <xdr:nvCxnSpPr>
        <xdr:cNvPr id="244" name="Conector reto 243">
          <a:extLst>
            <a:ext uri="{FF2B5EF4-FFF2-40B4-BE49-F238E27FC236}">
              <a16:creationId xmlns:a16="http://schemas.microsoft.com/office/drawing/2014/main" id="{AD37D20C-F827-42AC-96F4-CA5E513D6249}"/>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2271</xdr:row>
      <xdr:rowOff>87630</xdr:rowOff>
    </xdr:from>
    <xdr:to>
      <xdr:col>9</xdr:col>
      <xdr:colOff>0</xdr:colOff>
      <xdr:row>2271</xdr:row>
      <xdr:rowOff>87630</xdr:rowOff>
    </xdr:to>
    <xdr:cxnSp macro="">
      <xdr:nvCxnSpPr>
        <xdr:cNvPr id="245" name="Conector reto 244">
          <a:extLst>
            <a:ext uri="{FF2B5EF4-FFF2-40B4-BE49-F238E27FC236}">
              <a16:creationId xmlns:a16="http://schemas.microsoft.com/office/drawing/2014/main" id="{AD1F4F2F-2429-4084-8868-35AE43BE28E2}"/>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2277</xdr:row>
      <xdr:rowOff>87630</xdr:rowOff>
    </xdr:from>
    <xdr:to>
      <xdr:col>9</xdr:col>
      <xdr:colOff>0</xdr:colOff>
      <xdr:row>2277</xdr:row>
      <xdr:rowOff>87630</xdr:rowOff>
    </xdr:to>
    <xdr:cxnSp macro="">
      <xdr:nvCxnSpPr>
        <xdr:cNvPr id="246" name="Conector reto 245">
          <a:extLst>
            <a:ext uri="{FF2B5EF4-FFF2-40B4-BE49-F238E27FC236}">
              <a16:creationId xmlns:a16="http://schemas.microsoft.com/office/drawing/2014/main" id="{93EB3BFA-7627-4530-8FF1-6369782224C9}"/>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2286</xdr:row>
      <xdr:rowOff>87630</xdr:rowOff>
    </xdr:from>
    <xdr:to>
      <xdr:col>9</xdr:col>
      <xdr:colOff>0</xdr:colOff>
      <xdr:row>2286</xdr:row>
      <xdr:rowOff>87630</xdr:rowOff>
    </xdr:to>
    <xdr:cxnSp macro="">
      <xdr:nvCxnSpPr>
        <xdr:cNvPr id="247" name="Conector reto 246">
          <a:extLst>
            <a:ext uri="{FF2B5EF4-FFF2-40B4-BE49-F238E27FC236}">
              <a16:creationId xmlns:a16="http://schemas.microsoft.com/office/drawing/2014/main" id="{A48E65AD-70D4-4B62-802C-2B36BCCBB3D3}"/>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2294</xdr:row>
      <xdr:rowOff>87630</xdr:rowOff>
    </xdr:from>
    <xdr:to>
      <xdr:col>9</xdr:col>
      <xdr:colOff>0</xdr:colOff>
      <xdr:row>2294</xdr:row>
      <xdr:rowOff>87630</xdr:rowOff>
    </xdr:to>
    <xdr:cxnSp macro="">
      <xdr:nvCxnSpPr>
        <xdr:cNvPr id="248" name="Conector reto 247">
          <a:extLst>
            <a:ext uri="{FF2B5EF4-FFF2-40B4-BE49-F238E27FC236}">
              <a16:creationId xmlns:a16="http://schemas.microsoft.com/office/drawing/2014/main" id="{88FEA888-BE33-49DC-830B-B72265AEBBE3}"/>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2301</xdr:row>
      <xdr:rowOff>87630</xdr:rowOff>
    </xdr:from>
    <xdr:to>
      <xdr:col>9</xdr:col>
      <xdr:colOff>0</xdr:colOff>
      <xdr:row>2301</xdr:row>
      <xdr:rowOff>87630</xdr:rowOff>
    </xdr:to>
    <xdr:cxnSp macro="">
      <xdr:nvCxnSpPr>
        <xdr:cNvPr id="249" name="Conector reto 248">
          <a:extLst>
            <a:ext uri="{FF2B5EF4-FFF2-40B4-BE49-F238E27FC236}">
              <a16:creationId xmlns:a16="http://schemas.microsoft.com/office/drawing/2014/main" id="{5C9F4359-6447-46A7-8533-C5A883C5598C}"/>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2312</xdr:row>
      <xdr:rowOff>87630</xdr:rowOff>
    </xdr:from>
    <xdr:to>
      <xdr:col>9</xdr:col>
      <xdr:colOff>0</xdr:colOff>
      <xdr:row>2312</xdr:row>
      <xdr:rowOff>87630</xdr:rowOff>
    </xdr:to>
    <xdr:cxnSp macro="">
      <xdr:nvCxnSpPr>
        <xdr:cNvPr id="250" name="Conector reto 249">
          <a:extLst>
            <a:ext uri="{FF2B5EF4-FFF2-40B4-BE49-F238E27FC236}">
              <a16:creationId xmlns:a16="http://schemas.microsoft.com/office/drawing/2014/main" id="{963EFEE6-BA8B-4C27-8286-B4DDF03A69E4}"/>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2321</xdr:row>
      <xdr:rowOff>87630</xdr:rowOff>
    </xdr:from>
    <xdr:to>
      <xdr:col>9</xdr:col>
      <xdr:colOff>0</xdr:colOff>
      <xdr:row>2321</xdr:row>
      <xdr:rowOff>87630</xdr:rowOff>
    </xdr:to>
    <xdr:cxnSp macro="">
      <xdr:nvCxnSpPr>
        <xdr:cNvPr id="251" name="Conector reto 250">
          <a:extLst>
            <a:ext uri="{FF2B5EF4-FFF2-40B4-BE49-F238E27FC236}">
              <a16:creationId xmlns:a16="http://schemas.microsoft.com/office/drawing/2014/main" id="{06FE585C-DA41-4722-821D-AA41750763AB}"/>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2328</xdr:row>
      <xdr:rowOff>87630</xdr:rowOff>
    </xdr:from>
    <xdr:to>
      <xdr:col>9</xdr:col>
      <xdr:colOff>0</xdr:colOff>
      <xdr:row>2328</xdr:row>
      <xdr:rowOff>87630</xdr:rowOff>
    </xdr:to>
    <xdr:cxnSp macro="">
      <xdr:nvCxnSpPr>
        <xdr:cNvPr id="252" name="Conector reto 251">
          <a:extLst>
            <a:ext uri="{FF2B5EF4-FFF2-40B4-BE49-F238E27FC236}">
              <a16:creationId xmlns:a16="http://schemas.microsoft.com/office/drawing/2014/main" id="{5FA26492-1D92-4B1A-900B-6EDEB142057B}"/>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2335</xdr:row>
      <xdr:rowOff>87630</xdr:rowOff>
    </xdr:from>
    <xdr:to>
      <xdr:col>9</xdr:col>
      <xdr:colOff>0</xdr:colOff>
      <xdr:row>2335</xdr:row>
      <xdr:rowOff>87630</xdr:rowOff>
    </xdr:to>
    <xdr:cxnSp macro="">
      <xdr:nvCxnSpPr>
        <xdr:cNvPr id="253" name="Conector reto 252">
          <a:extLst>
            <a:ext uri="{FF2B5EF4-FFF2-40B4-BE49-F238E27FC236}">
              <a16:creationId xmlns:a16="http://schemas.microsoft.com/office/drawing/2014/main" id="{62982BD4-188B-41FD-B667-1C2F4E9F4F92}"/>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2342</xdr:row>
      <xdr:rowOff>87630</xdr:rowOff>
    </xdr:from>
    <xdr:to>
      <xdr:col>9</xdr:col>
      <xdr:colOff>0</xdr:colOff>
      <xdr:row>2342</xdr:row>
      <xdr:rowOff>87630</xdr:rowOff>
    </xdr:to>
    <xdr:cxnSp macro="">
      <xdr:nvCxnSpPr>
        <xdr:cNvPr id="254" name="Conector reto 253">
          <a:extLst>
            <a:ext uri="{FF2B5EF4-FFF2-40B4-BE49-F238E27FC236}">
              <a16:creationId xmlns:a16="http://schemas.microsoft.com/office/drawing/2014/main" id="{B9E979B7-E1DD-46EF-A5E8-E80B561F94B8}"/>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2353</xdr:row>
      <xdr:rowOff>87630</xdr:rowOff>
    </xdr:from>
    <xdr:to>
      <xdr:col>9</xdr:col>
      <xdr:colOff>0</xdr:colOff>
      <xdr:row>2353</xdr:row>
      <xdr:rowOff>87630</xdr:rowOff>
    </xdr:to>
    <xdr:cxnSp macro="">
      <xdr:nvCxnSpPr>
        <xdr:cNvPr id="255" name="Conector reto 254">
          <a:extLst>
            <a:ext uri="{FF2B5EF4-FFF2-40B4-BE49-F238E27FC236}">
              <a16:creationId xmlns:a16="http://schemas.microsoft.com/office/drawing/2014/main" id="{817FFDE8-D482-417E-8736-3F6C2A25E8B2}"/>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2358</xdr:row>
      <xdr:rowOff>87630</xdr:rowOff>
    </xdr:from>
    <xdr:to>
      <xdr:col>9</xdr:col>
      <xdr:colOff>0</xdr:colOff>
      <xdr:row>2358</xdr:row>
      <xdr:rowOff>87630</xdr:rowOff>
    </xdr:to>
    <xdr:cxnSp macro="">
      <xdr:nvCxnSpPr>
        <xdr:cNvPr id="256" name="Conector reto 255">
          <a:extLst>
            <a:ext uri="{FF2B5EF4-FFF2-40B4-BE49-F238E27FC236}">
              <a16:creationId xmlns:a16="http://schemas.microsoft.com/office/drawing/2014/main" id="{461C8316-2E71-40B4-AE4E-5284AA3DB209}"/>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2370</xdr:row>
      <xdr:rowOff>87630</xdr:rowOff>
    </xdr:from>
    <xdr:to>
      <xdr:col>9</xdr:col>
      <xdr:colOff>0</xdr:colOff>
      <xdr:row>2370</xdr:row>
      <xdr:rowOff>87630</xdr:rowOff>
    </xdr:to>
    <xdr:cxnSp macro="">
      <xdr:nvCxnSpPr>
        <xdr:cNvPr id="257" name="Conector reto 256">
          <a:extLst>
            <a:ext uri="{FF2B5EF4-FFF2-40B4-BE49-F238E27FC236}">
              <a16:creationId xmlns:a16="http://schemas.microsoft.com/office/drawing/2014/main" id="{4FD12840-6066-4D3D-B0AF-A843AEA1FCE4}"/>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2377</xdr:row>
      <xdr:rowOff>87630</xdr:rowOff>
    </xdr:from>
    <xdr:to>
      <xdr:col>9</xdr:col>
      <xdr:colOff>0</xdr:colOff>
      <xdr:row>2377</xdr:row>
      <xdr:rowOff>87630</xdr:rowOff>
    </xdr:to>
    <xdr:cxnSp macro="">
      <xdr:nvCxnSpPr>
        <xdr:cNvPr id="258" name="Conector reto 257">
          <a:extLst>
            <a:ext uri="{FF2B5EF4-FFF2-40B4-BE49-F238E27FC236}">
              <a16:creationId xmlns:a16="http://schemas.microsoft.com/office/drawing/2014/main" id="{A76EFF26-8C38-4B34-8F96-E03AE7056DF8}"/>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2386</xdr:row>
      <xdr:rowOff>87630</xdr:rowOff>
    </xdr:from>
    <xdr:to>
      <xdr:col>9</xdr:col>
      <xdr:colOff>0</xdr:colOff>
      <xdr:row>2386</xdr:row>
      <xdr:rowOff>87630</xdr:rowOff>
    </xdr:to>
    <xdr:cxnSp macro="">
      <xdr:nvCxnSpPr>
        <xdr:cNvPr id="259" name="Conector reto 258">
          <a:extLst>
            <a:ext uri="{FF2B5EF4-FFF2-40B4-BE49-F238E27FC236}">
              <a16:creationId xmlns:a16="http://schemas.microsoft.com/office/drawing/2014/main" id="{2AA34980-4168-46F8-A508-ABE1770F9905}"/>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2394</xdr:row>
      <xdr:rowOff>87630</xdr:rowOff>
    </xdr:from>
    <xdr:to>
      <xdr:col>9</xdr:col>
      <xdr:colOff>0</xdr:colOff>
      <xdr:row>2394</xdr:row>
      <xdr:rowOff>87630</xdr:rowOff>
    </xdr:to>
    <xdr:cxnSp macro="">
      <xdr:nvCxnSpPr>
        <xdr:cNvPr id="260" name="Conector reto 259">
          <a:extLst>
            <a:ext uri="{FF2B5EF4-FFF2-40B4-BE49-F238E27FC236}">
              <a16:creationId xmlns:a16="http://schemas.microsoft.com/office/drawing/2014/main" id="{3CD48F3C-9E1A-40B1-BDAE-76875DD0613D}"/>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2403</xdr:row>
      <xdr:rowOff>87630</xdr:rowOff>
    </xdr:from>
    <xdr:to>
      <xdr:col>9</xdr:col>
      <xdr:colOff>0</xdr:colOff>
      <xdr:row>2403</xdr:row>
      <xdr:rowOff>87630</xdr:rowOff>
    </xdr:to>
    <xdr:cxnSp macro="">
      <xdr:nvCxnSpPr>
        <xdr:cNvPr id="261" name="Conector reto 260">
          <a:extLst>
            <a:ext uri="{FF2B5EF4-FFF2-40B4-BE49-F238E27FC236}">
              <a16:creationId xmlns:a16="http://schemas.microsoft.com/office/drawing/2014/main" id="{2A9DCB28-EFD4-459F-8A9C-A6C462392D94}"/>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2414</xdr:row>
      <xdr:rowOff>87630</xdr:rowOff>
    </xdr:from>
    <xdr:to>
      <xdr:col>9</xdr:col>
      <xdr:colOff>0</xdr:colOff>
      <xdr:row>2414</xdr:row>
      <xdr:rowOff>87630</xdr:rowOff>
    </xdr:to>
    <xdr:cxnSp macro="">
      <xdr:nvCxnSpPr>
        <xdr:cNvPr id="262" name="Conector reto 261">
          <a:extLst>
            <a:ext uri="{FF2B5EF4-FFF2-40B4-BE49-F238E27FC236}">
              <a16:creationId xmlns:a16="http://schemas.microsoft.com/office/drawing/2014/main" id="{990F0089-3EDA-4558-B274-115DF698D6D0}"/>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2425</xdr:row>
      <xdr:rowOff>87630</xdr:rowOff>
    </xdr:from>
    <xdr:to>
      <xdr:col>9</xdr:col>
      <xdr:colOff>0</xdr:colOff>
      <xdr:row>2425</xdr:row>
      <xdr:rowOff>87630</xdr:rowOff>
    </xdr:to>
    <xdr:cxnSp macro="">
      <xdr:nvCxnSpPr>
        <xdr:cNvPr id="263" name="Conector reto 262">
          <a:extLst>
            <a:ext uri="{FF2B5EF4-FFF2-40B4-BE49-F238E27FC236}">
              <a16:creationId xmlns:a16="http://schemas.microsoft.com/office/drawing/2014/main" id="{BE02DF9E-2854-404B-A62A-F87A8D32DDC2}"/>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2438</xdr:row>
      <xdr:rowOff>87630</xdr:rowOff>
    </xdr:from>
    <xdr:to>
      <xdr:col>9</xdr:col>
      <xdr:colOff>0</xdr:colOff>
      <xdr:row>2438</xdr:row>
      <xdr:rowOff>87630</xdr:rowOff>
    </xdr:to>
    <xdr:cxnSp macro="">
      <xdr:nvCxnSpPr>
        <xdr:cNvPr id="264" name="Conector reto 263">
          <a:extLst>
            <a:ext uri="{FF2B5EF4-FFF2-40B4-BE49-F238E27FC236}">
              <a16:creationId xmlns:a16="http://schemas.microsoft.com/office/drawing/2014/main" id="{DEE9184F-94DF-475A-BC0C-CDF4F3831292}"/>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2446</xdr:row>
      <xdr:rowOff>87630</xdr:rowOff>
    </xdr:from>
    <xdr:to>
      <xdr:col>9</xdr:col>
      <xdr:colOff>0</xdr:colOff>
      <xdr:row>2446</xdr:row>
      <xdr:rowOff>87630</xdr:rowOff>
    </xdr:to>
    <xdr:cxnSp macro="">
      <xdr:nvCxnSpPr>
        <xdr:cNvPr id="265" name="Conector reto 264">
          <a:extLst>
            <a:ext uri="{FF2B5EF4-FFF2-40B4-BE49-F238E27FC236}">
              <a16:creationId xmlns:a16="http://schemas.microsoft.com/office/drawing/2014/main" id="{3B846CF2-DC23-4450-BA8A-7FDD0B33A9DB}"/>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2460</xdr:row>
      <xdr:rowOff>87630</xdr:rowOff>
    </xdr:from>
    <xdr:to>
      <xdr:col>9</xdr:col>
      <xdr:colOff>0</xdr:colOff>
      <xdr:row>2460</xdr:row>
      <xdr:rowOff>87630</xdr:rowOff>
    </xdr:to>
    <xdr:cxnSp macro="">
      <xdr:nvCxnSpPr>
        <xdr:cNvPr id="266" name="Conector reto 265">
          <a:extLst>
            <a:ext uri="{FF2B5EF4-FFF2-40B4-BE49-F238E27FC236}">
              <a16:creationId xmlns:a16="http://schemas.microsoft.com/office/drawing/2014/main" id="{3B381F68-49F3-4F27-AE35-B1CC5CADD847}"/>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2468</xdr:row>
      <xdr:rowOff>87630</xdr:rowOff>
    </xdr:from>
    <xdr:to>
      <xdr:col>9</xdr:col>
      <xdr:colOff>0</xdr:colOff>
      <xdr:row>2468</xdr:row>
      <xdr:rowOff>87630</xdr:rowOff>
    </xdr:to>
    <xdr:cxnSp macro="">
      <xdr:nvCxnSpPr>
        <xdr:cNvPr id="268" name="Conector reto 267">
          <a:extLst>
            <a:ext uri="{FF2B5EF4-FFF2-40B4-BE49-F238E27FC236}">
              <a16:creationId xmlns:a16="http://schemas.microsoft.com/office/drawing/2014/main" id="{E2EC53DA-166B-48E4-AA63-1D82021CA352}"/>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2477</xdr:row>
      <xdr:rowOff>87630</xdr:rowOff>
    </xdr:from>
    <xdr:to>
      <xdr:col>9</xdr:col>
      <xdr:colOff>0</xdr:colOff>
      <xdr:row>2477</xdr:row>
      <xdr:rowOff>87630</xdr:rowOff>
    </xdr:to>
    <xdr:cxnSp macro="">
      <xdr:nvCxnSpPr>
        <xdr:cNvPr id="269" name="Conector reto 268">
          <a:extLst>
            <a:ext uri="{FF2B5EF4-FFF2-40B4-BE49-F238E27FC236}">
              <a16:creationId xmlns:a16="http://schemas.microsoft.com/office/drawing/2014/main" id="{E5B1D55F-F766-45BD-BAB9-54E101453825}"/>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2486</xdr:row>
      <xdr:rowOff>87630</xdr:rowOff>
    </xdr:from>
    <xdr:to>
      <xdr:col>9</xdr:col>
      <xdr:colOff>0</xdr:colOff>
      <xdr:row>2486</xdr:row>
      <xdr:rowOff>87630</xdr:rowOff>
    </xdr:to>
    <xdr:cxnSp macro="">
      <xdr:nvCxnSpPr>
        <xdr:cNvPr id="270" name="Conector reto 269">
          <a:extLst>
            <a:ext uri="{FF2B5EF4-FFF2-40B4-BE49-F238E27FC236}">
              <a16:creationId xmlns:a16="http://schemas.microsoft.com/office/drawing/2014/main" id="{A3702E2C-A05C-40BF-8E89-44C8C1CBEFC1}"/>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2498</xdr:row>
      <xdr:rowOff>87630</xdr:rowOff>
    </xdr:from>
    <xdr:to>
      <xdr:col>9</xdr:col>
      <xdr:colOff>0</xdr:colOff>
      <xdr:row>2498</xdr:row>
      <xdr:rowOff>87630</xdr:rowOff>
    </xdr:to>
    <xdr:cxnSp macro="">
      <xdr:nvCxnSpPr>
        <xdr:cNvPr id="271" name="Conector reto 270">
          <a:extLst>
            <a:ext uri="{FF2B5EF4-FFF2-40B4-BE49-F238E27FC236}">
              <a16:creationId xmlns:a16="http://schemas.microsoft.com/office/drawing/2014/main" id="{A3B95841-7DF7-42E2-B487-351532F4F0C8}"/>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2507</xdr:row>
      <xdr:rowOff>87630</xdr:rowOff>
    </xdr:from>
    <xdr:to>
      <xdr:col>9</xdr:col>
      <xdr:colOff>0</xdr:colOff>
      <xdr:row>2507</xdr:row>
      <xdr:rowOff>87630</xdr:rowOff>
    </xdr:to>
    <xdr:cxnSp macro="">
      <xdr:nvCxnSpPr>
        <xdr:cNvPr id="272" name="Conector reto 271">
          <a:extLst>
            <a:ext uri="{FF2B5EF4-FFF2-40B4-BE49-F238E27FC236}">
              <a16:creationId xmlns:a16="http://schemas.microsoft.com/office/drawing/2014/main" id="{24267EAD-6678-4036-BA7F-6D50DDB7E23E}"/>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2514</xdr:row>
      <xdr:rowOff>87630</xdr:rowOff>
    </xdr:from>
    <xdr:to>
      <xdr:col>9</xdr:col>
      <xdr:colOff>0</xdr:colOff>
      <xdr:row>2514</xdr:row>
      <xdr:rowOff>87630</xdr:rowOff>
    </xdr:to>
    <xdr:cxnSp macro="">
      <xdr:nvCxnSpPr>
        <xdr:cNvPr id="273" name="Conector reto 272">
          <a:extLst>
            <a:ext uri="{FF2B5EF4-FFF2-40B4-BE49-F238E27FC236}">
              <a16:creationId xmlns:a16="http://schemas.microsoft.com/office/drawing/2014/main" id="{FC95D374-C7BF-4993-838F-822D0DD02974}"/>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2522</xdr:row>
      <xdr:rowOff>87630</xdr:rowOff>
    </xdr:from>
    <xdr:to>
      <xdr:col>9</xdr:col>
      <xdr:colOff>0</xdr:colOff>
      <xdr:row>2522</xdr:row>
      <xdr:rowOff>87630</xdr:rowOff>
    </xdr:to>
    <xdr:cxnSp macro="">
      <xdr:nvCxnSpPr>
        <xdr:cNvPr id="274" name="Conector reto 273">
          <a:extLst>
            <a:ext uri="{FF2B5EF4-FFF2-40B4-BE49-F238E27FC236}">
              <a16:creationId xmlns:a16="http://schemas.microsoft.com/office/drawing/2014/main" id="{A4358308-00B0-485D-910C-2C49A09FDD04}"/>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2530</xdr:row>
      <xdr:rowOff>87630</xdr:rowOff>
    </xdr:from>
    <xdr:to>
      <xdr:col>9</xdr:col>
      <xdr:colOff>0</xdr:colOff>
      <xdr:row>2530</xdr:row>
      <xdr:rowOff>87630</xdr:rowOff>
    </xdr:to>
    <xdr:cxnSp macro="">
      <xdr:nvCxnSpPr>
        <xdr:cNvPr id="275" name="Conector reto 274">
          <a:extLst>
            <a:ext uri="{FF2B5EF4-FFF2-40B4-BE49-F238E27FC236}">
              <a16:creationId xmlns:a16="http://schemas.microsoft.com/office/drawing/2014/main" id="{EC6FB5E3-EA0B-4D1A-8776-3C3C1A2D0A88}"/>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2535</xdr:row>
      <xdr:rowOff>87630</xdr:rowOff>
    </xdr:from>
    <xdr:to>
      <xdr:col>9</xdr:col>
      <xdr:colOff>0</xdr:colOff>
      <xdr:row>2535</xdr:row>
      <xdr:rowOff>87630</xdr:rowOff>
    </xdr:to>
    <xdr:cxnSp macro="">
      <xdr:nvCxnSpPr>
        <xdr:cNvPr id="276" name="Conector reto 275">
          <a:extLst>
            <a:ext uri="{FF2B5EF4-FFF2-40B4-BE49-F238E27FC236}">
              <a16:creationId xmlns:a16="http://schemas.microsoft.com/office/drawing/2014/main" id="{C597759C-2F75-4A36-98F7-CD27A3E28CC1}"/>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2540</xdr:row>
      <xdr:rowOff>87630</xdr:rowOff>
    </xdr:from>
    <xdr:to>
      <xdr:col>9</xdr:col>
      <xdr:colOff>0</xdr:colOff>
      <xdr:row>2540</xdr:row>
      <xdr:rowOff>87630</xdr:rowOff>
    </xdr:to>
    <xdr:cxnSp macro="">
      <xdr:nvCxnSpPr>
        <xdr:cNvPr id="277" name="Conector reto 276">
          <a:extLst>
            <a:ext uri="{FF2B5EF4-FFF2-40B4-BE49-F238E27FC236}">
              <a16:creationId xmlns:a16="http://schemas.microsoft.com/office/drawing/2014/main" id="{863959BC-CDAF-49DA-B199-12B95C4F6312}"/>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2545</xdr:row>
      <xdr:rowOff>87630</xdr:rowOff>
    </xdr:from>
    <xdr:to>
      <xdr:col>9</xdr:col>
      <xdr:colOff>0</xdr:colOff>
      <xdr:row>2545</xdr:row>
      <xdr:rowOff>87630</xdr:rowOff>
    </xdr:to>
    <xdr:cxnSp macro="">
      <xdr:nvCxnSpPr>
        <xdr:cNvPr id="278" name="Conector reto 277">
          <a:extLst>
            <a:ext uri="{FF2B5EF4-FFF2-40B4-BE49-F238E27FC236}">
              <a16:creationId xmlns:a16="http://schemas.microsoft.com/office/drawing/2014/main" id="{18F44601-5322-4382-BFF5-75C22D7C9D3C}"/>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2558</xdr:row>
      <xdr:rowOff>78105</xdr:rowOff>
    </xdr:from>
    <xdr:to>
      <xdr:col>9</xdr:col>
      <xdr:colOff>28575</xdr:colOff>
      <xdr:row>2558</xdr:row>
      <xdr:rowOff>78105</xdr:rowOff>
    </xdr:to>
    <xdr:cxnSp macro="">
      <xdr:nvCxnSpPr>
        <xdr:cNvPr id="279" name="Conector reto 278">
          <a:extLst>
            <a:ext uri="{FF2B5EF4-FFF2-40B4-BE49-F238E27FC236}">
              <a16:creationId xmlns:a16="http://schemas.microsoft.com/office/drawing/2014/main" id="{3257493A-C257-4A88-A057-8ABDEDDA9DF0}"/>
            </a:ext>
          </a:extLst>
        </xdr:cNvPr>
        <xdr:cNvCxnSpPr/>
      </xdr:nvCxnSpPr>
      <xdr:spPr>
        <a:xfrm>
          <a:off x="133350" y="77758480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2571</xdr:row>
      <xdr:rowOff>87630</xdr:rowOff>
    </xdr:from>
    <xdr:to>
      <xdr:col>9</xdr:col>
      <xdr:colOff>0</xdr:colOff>
      <xdr:row>2571</xdr:row>
      <xdr:rowOff>87630</xdr:rowOff>
    </xdr:to>
    <xdr:cxnSp macro="">
      <xdr:nvCxnSpPr>
        <xdr:cNvPr id="281" name="Conector reto 280">
          <a:extLst>
            <a:ext uri="{FF2B5EF4-FFF2-40B4-BE49-F238E27FC236}">
              <a16:creationId xmlns:a16="http://schemas.microsoft.com/office/drawing/2014/main" id="{9899E937-6945-4196-B1F8-CA61020909A8}"/>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2583</xdr:row>
      <xdr:rowOff>87630</xdr:rowOff>
    </xdr:from>
    <xdr:to>
      <xdr:col>9</xdr:col>
      <xdr:colOff>0</xdr:colOff>
      <xdr:row>2583</xdr:row>
      <xdr:rowOff>87630</xdr:rowOff>
    </xdr:to>
    <xdr:cxnSp macro="">
      <xdr:nvCxnSpPr>
        <xdr:cNvPr id="282" name="Conector reto 281">
          <a:extLst>
            <a:ext uri="{FF2B5EF4-FFF2-40B4-BE49-F238E27FC236}">
              <a16:creationId xmlns:a16="http://schemas.microsoft.com/office/drawing/2014/main" id="{0909DCCB-00AF-4B3E-BA4A-B1B8EC18C737}"/>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2595</xdr:row>
      <xdr:rowOff>87630</xdr:rowOff>
    </xdr:from>
    <xdr:to>
      <xdr:col>9</xdr:col>
      <xdr:colOff>0</xdr:colOff>
      <xdr:row>2595</xdr:row>
      <xdr:rowOff>87630</xdr:rowOff>
    </xdr:to>
    <xdr:cxnSp macro="">
      <xdr:nvCxnSpPr>
        <xdr:cNvPr id="283" name="Conector reto 282">
          <a:extLst>
            <a:ext uri="{FF2B5EF4-FFF2-40B4-BE49-F238E27FC236}">
              <a16:creationId xmlns:a16="http://schemas.microsoft.com/office/drawing/2014/main" id="{8538A74C-F0E4-4979-8677-62FDA47100F1}"/>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2601</xdr:row>
      <xdr:rowOff>87630</xdr:rowOff>
    </xdr:from>
    <xdr:to>
      <xdr:col>9</xdr:col>
      <xdr:colOff>0</xdr:colOff>
      <xdr:row>2601</xdr:row>
      <xdr:rowOff>87630</xdr:rowOff>
    </xdr:to>
    <xdr:cxnSp macro="">
      <xdr:nvCxnSpPr>
        <xdr:cNvPr id="284" name="Conector reto 283">
          <a:extLst>
            <a:ext uri="{FF2B5EF4-FFF2-40B4-BE49-F238E27FC236}">
              <a16:creationId xmlns:a16="http://schemas.microsoft.com/office/drawing/2014/main" id="{9E55161F-7E44-4ADE-9FFE-D681DB34D844}"/>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2608</xdr:row>
      <xdr:rowOff>87630</xdr:rowOff>
    </xdr:from>
    <xdr:to>
      <xdr:col>9</xdr:col>
      <xdr:colOff>0</xdr:colOff>
      <xdr:row>2608</xdr:row>
      <xdr:rowOff>87630</xdr:rowOff>
    </xdr:to>
    <xdr:cxnSp macro="">
      <xdr:nvCxnSpPr>
        <xdr:cNvPr id="285" name="Conector reto 284">
          <a:extLst>
            <a:ext uri="{FF2B5EF4-FFF2-40B4-BE49-F238E27FC236}">
              <a16:creationId xmlns:a16="http://schemas.microsoft.com/office/drawing/2014/main" id="{E3489072-3D76-498B-8384-467DA413CB00}"/>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2615</xdr:row>
      <xdr:rowOff>87630</xdr:rowOff>
    </xdr:from>
    <xdr:to>
      <xdr:col>9</xdr:col>
      <xdr:colOff>0</xdr:colOff>
      <xdr:row>2615</xdr:row>
      <xdr:rowOff>87630</xdr:rowOff>
    </xdr:to>
    <xdr:cxnSp macro="">
      <xdr:nvCxnSpPr>
        <xdr:cNvPr id="286" name="Conector reto 285">
          <a:extLst>
            <a:ext uri="{FF2B5EF4-FFF2-40B4-BE49-F238E27FC236}">
              <a16:creationId xmlns:a16="http://schemas.microsoft.com/office/drawing/2014/main" id="{15E23B1C-FE88-49C9-B725-B50512A166B9}"/>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2622</xdr:row>
      <xdr:rowOff>87630</xdr:rowOff>
    </xdr:from>
    <xdr:to>
      <xdr:col>9</xdr:col>
      <xdr:colOff>0</xdr:colOff>
      <xdr:row>2622</xdr:row>
      <xdr:rowOff>87630</xdr:rowOff>
    </xdr:to>
    <xdr:cxnSp macro="">
      <xdr:nvCxnSpPr>
        <xdr:cNvPr id="287" name="Conector reto 286">
          <a:extLst>
            <a:ext uri="{FF2B5EF4-FFF2-40B4-BE49-F238E27FC236}">
              <a16:creationId xmlns:a16="http://schemas.microsoft.com/office/drawing/2014/main" id="{8698F18E-6A5F-4059-AC0B-E580454F3433}"/>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2631</xdr:row>
      <xdr:rowOff>87630</xdr:rowOff>
    </xdr:from>
    <xdr:to>
      <xdr:col>9</xdr:col>
      <xdr:colOff>0</xdr:colOff>
      <xdr:row>2631</xdr:row>
      <xdr:rowOff>87630</xdr:rowOff>
    </xdr:to>
    <xdr:cxnSp macro="">
      <xdr:nvCxnSpPr>
        <xdr:cNvPr id="288" name="Conector reto 287">
          <a:extLst>
            <a:ext uri="{FF2B5EF4-FFF2-40B4-BE49-F238E27FC236}">
              <a16:creationId xmlns:a16="http://schemas.microsoft.com/office/drawing/2014/main" id="{001041A5-0F9B-4D0D-86D4-FCAA9D47622D}"/>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2639</xdr:row>
      <xdr:rowOff>87630</xdr:rowOff>
    </xdr:from>
    <xdr:to>
      <xdr:col>9</xdr:col>
      <xdr:colOff>0</xdr:colOff>
      <xdr:row>2639</xdr:row>
      <xdr:rowOff>87630</xdr:rowOff>
    </xdr:to>
    <xdr:cxnSp macro="">
      <xdr:nvCxnSpPr>
        <xdr:cNvPr id="289" name="Conector reto 288">
          <a:extLst>
            <a:ext uri="{FF2B5EF4-FFF2-40B4-BE49-F238E27FC236}">
              <a16:creationId xmlns:a16="http://schemas.microsoft.com/office/drawing/2014/main" id="{F61775F6-5140-49FE-8D24-D77445A615C4}"/>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2647</xdr:row>
      <xdr:rowOff>87630</xdr:rowOff>
    </xdr:from>
    <xdr:to>
      <xdr:col>9</xdr:col>
      <xdr:colOff>0</xdr:colOff>
      <xdr:row>2647</xdr:row>
      <xdr:rowOff>87630</xdr:rowOff>
    </xdr:to>
    <xdr:cxnSp macro="">
      <xdr:nvCxnSpPr>
        <xdr:cNvPr id="290" name="Conector reto 289">
          <a:extLst>
            <a:ext uri="{FF2B5EF4-FFF2-40B4-BE49-F238E27FC236}">
              <a16:creationId xmlns:a16="http://schemas.microsoft.com/office/drawing/2014/main" id="{239C16AE-4DED-485D-8EB8-C9FC6C304BE2}"/>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2654</xdr:row>
      <xdr:rowOff>87630</xdr:rowOff>
    </xdr:from>
    <xdr:to>
      <xdr:col>9</xdr:col>
      <xdr:colOff>0</xdr:colOff>
      <xdr:row>2654</xdr:row>
      <xdr:rowOff>87630</xdr:rowOff>
    </xdr:to>
    <xdr:cxnSp macro="">
      <xdr:nvCxnSpPr>
        <xdr:cNvPr id="291" name="Conector reto 290">
          <a:extLst>
            <a:ext uri="{FF2B5EF4-FFF2-40B4-BE49-F238E27FC236}">
              <a16:creationId xmlns:a16="http://schemas.microsoft.com/office/drawing/2014/main" id="{574AA46B-66E3-4AE1-83A0-ED3294737710}"/>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2659</xdr:row>
      <xdr:rowOff>87630</xdr:rowOff>
    </xdr:from>
    <xdr:to>
      <xdr:col>9</xdr:col>
      <xdr:colOff>0</xdr:colOff>
      <xdr:row>2659</xdr:row>
      <xdr:rowOff>87630</xdr:rowOff>
    </xdr:to>
    <xdr:cxnSp macro="">
      <xdr:nvCxnSpPr>
        <xdr:cNvPr id="292" name="Conector reto 291">
          <a:extLst>
            <a:ext uri="{FF2B5EF4-FFF2-40B4-BE49-F238E27FC236}">
              <a16:creationId xmlns:a16="http://schemas.microsoft.com/office/drawing/2014/main" id="{BE8A19D3-7494-412B-B8A3-91A1CE3CB727}"/>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2664</xdr:row>
      <xdr:rowOff>87630</xdr:rowOff>
    </xdr:from>
    <xdr:to>
      <xdr:col>9</xdr:col>
      <xdr:colOff>0</xdr:colOff>
      <xdr:row>2664</xdr:row>
      <xdr:rowOff>87630</xdr:rowOff>
    </xdr:to>
    <xdr:cxnSp macro="">
      <xdr:nvCxnSpPr>
        <xdr:cNvPr id="293" name="Conector reto 292">
          <a:extLst>
            <a:ext uri="{FF2B5EF4-FFF2-40B4-BE49-F238E27FC236}">
              <a16:creationId xmlns:a16="http://schemas.microsoft.com/office/drawing/2014/main" id="{776B6DB1-92C5-418F-9E21-AEC84A44D370}"/>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2670</xdr:row>
      <xdr:rowOff>87630</xdr:rowOff>
    </xdr:from>
    <xdr:to>
      <xdr:col>9</xdr:col>
      <xdr:colOff>0</xdr:colOff>
      <xdr:row>2670</xdr:row>
      <xdr:rowOff>87630</xdr:rowOff>
    </xdr:to>
    <xdr:cxnSp macro="">
      <xdr:nvCxnSpPr>
        <xdr:cNvPr id="294" name="Conector reto 293">
          <a:extLst>
            <a:ext uri="{FF2B5EF4-FFF2-40B4-BE49-F238E27FC236}">
              <a16:creationId xmlns:a16="http://schemas.microsoft.com/office/drawing/2014/main" id="{0DB7B75F-3F9A-43F0-9BD1-8D449A4E103F}"/>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638175</xdr:colOff>
      <xdr:row>0</xdr:row>
      <xdr:rowOff>85725</xdr:rowOff>
    </xdr:from>
    <xdr:to>
      <xdr:col>8</xdr:col>
      <xdr:colOff>95249</xdr:colOff>
      <xdr:row>0</xdr:row>
      <xdr:rowOff>1350511</xdr:rowOff>
    </xdr:to>
    <xdr:pic>
      <xdr:nvPicPr>
        <xdr:cNvPr id="16" name="Imagem 15">
          <a:extLst>
            <a:ext uri="{FF2B5EF4-FFF2-40B4-BE49-F238E27FC236}">
              <a16:creationId xmlns:a16="http://schemas.microsoft.com/office/drawing/2014/main" id="{3ABDB358-A73C-4E3B-A3F3-D849B0BDEF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85725"/>
          <a:ext cx="6162674" cy="1264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2133600</xdr:colOff>
      <xdr:row>1</xdr:row>
      <xdr:rowOff>19050</xdr:rowOff>
    </xdr:from>
    <xdr:to>
      <xdr:col>8</xdr:col>
      <xdr:colOff>190500</xdr:colOff>
      <xdr:row>5</xdr:row>
      <xdr:rowOff>211842</xdr:rowOff>
    </xdr:to>
    <xdr:pic>
      <xdr:nvPicPr>
        <xdr:cNvPr id="2" name="Imagem 1">
          <a:extLst>
            <a:ext uri="{FF2B5EF4-FFF2-40B4-BE49-F238E27FC236}">
              <a16:creationId xmlns:a16="http://schemas.microsoft.com/office/drawing/2014/main" id="{141AE497-6540-4F8B-AC3C-B8DDDB105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71850" y="257175"/>
          <a:ext cx="5534025" cy="1135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57979</xdr:colOff>
      <xdr:row>3</xdr:row>
      <xdr:rowOff>33130</xdr:rowOff>
    </xdr:from>
    <xdr:to>
      <xdr:col>2</xdr:col>
      <xdr:colOff>861392</xdr:colOff>
      <xdr:row>3</xdr:row>
      <xdr:rowOff>1047951</xdr:rowOff>
    </xdr:to>
    <xdr:pic>
      <xdr:nvPicPr>
        <xdr:cNvPr id="2" name="Imagem 1">
          <a:extLst>
            <a:ext uri="{FF2B5EF4-FFF2-40B4-BE49-F238E27FC236}">
              <a16:creationId xmlns:a16="http://schemas.microsoft.com/office/drawing/2014/main" id="{79835CE4-ADB2-46BC-B71C-59473F17E6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79" y="612913"/>
          <a:ext cx="4944717" cy="10148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742950</xdr:colOff>
      <xdr:row>0</xdr:row>
      <xdr:rowOff>76201</xdr:rowOff>
    </xdr:from>
    <xdr:to>
      <xdr:col>3</xdr:col>
      <xdr:colOff>381000</xdr:colOff>
      <xdr:row>0</xdr:row>
      <xdr:rowOff>1047750</xdr:rowOff>
    </xdr:to>
    <xdr:pic>
      <xdr:nvPicPr>
        <xdr:cNvPr id="2" name="Imagem 1">
          <a:extLst>
            <a:ext uri="{FF2B5EF4-FFF2-40B4-BE49-F238E27FC236}">
              <a16:creationId xmlns:a16="http://schemas.microsoft.com/office/drawing/2014/main" id="{F47A0D85-AD8B-4E42-B86F-BF5E83451C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76201"/>
          <a:ext cx="4314825" cy="9715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09700" y="126777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838200</xdr:colOff>
      <xdr:row>94</xdr:row>
      <xdr:rowOff>0</xdr:rowOff>
    </xdr:to>
    <xdr:pic>
      <xdr:nvPicPr>
        <xdr:cNvPr id="3" name="Imagem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78117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4</xdr:col>
      <xdr:colOff>238125</xdr:colOff>
      <xdr:row>213</xdr:row>
      <xdr:rowOff>38100</xdr:rowOff>
    </xdr:to>
    <xdr:pic>
      <xdr:nvPicPr>
        <xdr:cNvPr id="4" name="Imagem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7064472"/>
          <a:ext cx="4400550" cy="372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341</xdr:row>
      <xdr:rowOff>19050</xdr:rowOff>
    </xdr:from>
    <xdr:to>
      <xdr:col>1</xdr:col>
      <xdr:colOff>933450</xdr:colOff>
      <xdr:row>352</xdr:row>
      <xdr:rowOff>142875</xdr:rowOff>
    </xdr:to>
    <xdr:pic>
      <xdr:nvPicPr>
        <xdr:cNvPr id="5" name="Imagem 3">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6895325"/>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138</xdr:row>
      <xdr:rowOff>0</xdr:rowOff>
    </xdr:from>
    <xdr:to>
      <xdr:col>5</xdr:col>
      <xdr:colOff>762000</xdr:colOff>
      <xdr:row>140</xdr:row>
      <xdr:rowOff>342900</xdr:rowOff>
    </xdr:to>
    <xdr:pic>
      <xdr:nvPicPr>
        <xdr:cNvPr id="7" name="Imagem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0" y="30299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3</xdr:col>
      <xdr:colOff>847725</xdr:colOff>
      <xdr:row>1182</xdr:row>
      <xdr:rowOff>180975</xdr:rowOff>
    </xdr:to>
    <xdr:pic>
      <xdr:nvPicPr>
        <xdr:cNvPr id="9" name="Imagem 10" descr="Y:\SUPO\PROJETOS\SUPO-SAOP - SETOR DE PROJETOS\PROJETOS 2019\PROJETOS SEDUC-SECID PROJETO ESCOLA PADRÃO\saboneteira inox.jpg">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57675" y="2552223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4</xdr:col>
      <xdr:colOff>238125</xdr:colOff>
      <xdr:row>1183</xdr:row>
      <xdr:rowOff>76200</xdr:rowOff>
    </xdr:to>
    <xdr:pic>
      <xdr:nvPicPr>
        <xdr:cNvPr id="10" name="Imagem 4">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57675" y="2552223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1163</xdr:row>
      <xdr:rowOff>57150</xdr:rowOff>
    </xdr:from>
    <xdr:to>
      <xdr:col>3</xdr:col>
      <xdr:colOff>828675</xdr:colOff>
      <xdr:row>1169</xdr:row>
      <xdr:rowOff>85725</xdr:rowOff>
    </xdr:to>
    <xdr:pic>
      <xdr:nvPicPr>
        <xdr:cNvPr id="12" name="Imagem 10" descr="Y:\SUPO\PROJETOS\SUPO-SAOP - SETOR DE PROJETOS\PROJETOS 2019\PROJETOS SEDUC-SECID PROJETO ESCOLA PADRÃO\saboneteira inox.jpg">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3325" y="25262205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1190</xdr:row>
      <xdr:rowOff>161925</xdr:rowOff>
    </xdr:from>
    <xdr:to>
      <xdr:col>4</xdr:col>
      <xdr:colOff>142875</xdr:colOff>
      <xdr:row>1196</xdr:row>
      <xdr:rowOff>76200</xdr:rowOff>
    </xdr:to>
    <xdr:pic>
      <xdr:nvPicPr>
        <xdr:cNvPr id="14" name="Imagem 8" descr="Y:\SUPO\PROJETOS\SUPO-SAOP - SETOR DE PROJETOS\PROJETOS 2019\PROJETOS SEDUC-SECID PROJETO ESCOLA PADRÃO\papeleira ferro.jpg">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71900" y="25792747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SUPO\COQO\OR&#199;AMENTOS%202022\K&#193;TIA%20-%202022\PLANILHAS%20OR&#199;AMENT&#193;RIAS\SEMA%20-%20ATUALIZA&#199;&#195;O\CONFRESA\CONFRESA%202022\CONFRESA-MT(364778-2019)%20CONSTRU&#199;&#195;O%20DUDS%20-%20FEV-2023-SEM%20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EM DESONERAÇÃO"/>
      <sheetName val="RESUMO SEM DESONERAÇÃO"/>
      <sheetName val="PLANILHA SEM DESON"/>
      <sheetName val="COMP CIVIL"/>
      <sheetName val="COMP ELE"/>
      <sheetName val="COMP ESTRUT"/>
      <sheetName val="COMP HIDR"/>
      <sheetName val="COMP ETE"/>
      <sheetName val="BDI NÃO DESONERADO"/>
      <sheetName val="QT IMPLANTAÇÃO ARQ"/>
      <sheetName val="QT ESTRUTURAL"/>
      <sheetName val="QTITATIVO ELÉTRICA"/>
      <sheetName val="QTITQTIVO ARQ"/>
      <sheetName val="QTITATIVO MURETA"/>
      <sheetName val="QTITQTIVO ETE - ADELMO"/>
      <sheetName val="LISTA DE MAT HIDROSS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hyperlink" Target="mailto:vendas@paratec.com.br" TargetMode="External"/><Relationship Id="rId1" Type="http://schemas.openxmlformats.org/officeDocument/2006/relationships/hyperlink" Target="http://www.lojaeletrica.com.b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3"/>
  <sheetViews>
    <sheetView tabSelected="1" view="pageBreakPreview" topLeftCell="A19" zoomScaleNormal="100" zoomScaleSheetLayoutView="100" workbookViewId="0">
      <selection activeCell="H48" sqref="H48"/>
    </sheetView>
  </sheetViews>
  <sheetFormatPr defaultRowHeight="15"/>
  <cols>
    <col min="1" max="1" width="18.28515625" customWidth="1"/>
    <col min="2" max="2" width="15.85546875" customWidth="1"/>
    <col min="3" max="3" width="55.42578125" customWidth="1"/>
    <col min="4" max="4" width="15.140625" customWidth="1"/>
    <col min="5" max="5" width="10.85546875" customWidth="1"/>
    <col min="6" max="6" width="11.28515625" customWidth="1"/>
    <col min="7" max="7" width="10.5703125" customWidth="1"/>
    <col min="8" max="8" width="12" customWidth="1"/>
    <col min="9" max="9" width="15" customWidth="1"/>
  </cols>
  <sheetData>
    <row r="1" spans="1:9" ht="19.5" customHeight="1">
      <c r="A1" s="1826"/>
      <c r="B1" s="1827"/>
      <c r="C1" s="1828"/>
      <c r="D1" s="1829"/>
      <c r="E1" s="1829"/>
      <c r="F1" s="23"/>
      <c r="G1" s="23"/>
      <c r="H1" s="19"/>
      <c r="I1" s="19"/>
    </row>
    <row r="2" spans="1:9" ht="18.75" customHeight="1">
      <c r="A2" s="1879"/>
      <c r="B2" s="1879"/>
      <c r="C2" s="1879"/>
      <c r="D2" s="1879"/>
      <c r="E2" s="1879"/>
      <c r="F2" s="23"/>
      <c r="G2" s="23"/>
      <c r="H2" s="19"/>
      <c r="I2" s="19"/>
    </row>
    <row r="3" spans="1:9" ht="15.75" customHeight="1">
      <c r="A3" s="1879"/>
      <c r="B3" s="1879"/>
      <c r="C3" s="1879"/>
      <c r="D3" s="1879"/>
      <c r="E3" s="1879"/>
      <c r="F3" s="24"/>
      <c r="G3" s="24"/>
      <c r="H3" s="19"/>
      <c r="I3" s="19"/>
    </row>
    <row r="4" spans="1:9" ht="15.75" customHeight="1">
      <c r="A4" s="1830"/>
      <c r="B4" s="1830"/>
      <c r="C4" s="1831"/>
      <c r="D4" s="1832"/>
      <c r="E4" s="1832"/>
      <c r="F4" s="22"/>
      <c r="G4" s="22"/>
      <c r="H4" s="19"/>
      <c r="I4" s="19"/>
    </row>
    <row r="5" spans="1:9" ht="17.25" customHeight="1">
      <c r="A5" s="1830"/>
      <c r="B5" s="1830"/>
      <c r="C5" s="1833"/>
      <c r="D5" s="1832"/>
      <c r="E5" s="1832"/>
      <c r="F5" s="22"/>
      <c r="G5" s="22"/>
      <c r="H5" s="19"/>
      <c r="I5" s="19"/>
    </row>
    <row r="6" spans="1:9" ht="16.5" customHeight="1" thickBot="1">
      <c r="A6" s="1830"/>
      <c r="B6" s="1830"/>
      <c r="C6" s="1833"/>
      <c r="D6" s="1832"/>
      <c r="E6" s="1832"/>
      <c r="F6" s="22"/>
      <c r="G6" s="22"/>
      <c r="H6" s="19"/>
      <c r="I6" s="19"/>
    </row>
    <row r="7" spans="1:9" ht="17.25" customHeight="1">
      <c r="A7" s="380" t="s">
        <v>0</v>
      </c>
      <c r="B7" s="1880" t="str">
        <f>'PLANILHA SEM DESON'!B9:C9</f>
        <v>SEMA-PRO-2022/00145</v>
      </c>
      <c r="C7" s="1880"/>
      <c r="D7" s="381"/>
      <c r="E7" s="382"/>
    </row>
    <row r="8" spans="1:9" ht="31.5" customHeight="1">
      <c r="A8" s="12" t="str">
        <f>'PLANILHA SEM DESON'!A10</f>
        <v>OBRA:</v>
      </c>
      <c r="B8" s="1881" t="str">
        <f>'PLANILHA SEM DESON'!B10:C10</f>
        <v>CONSTRUÇÃO DE DIRETORIA DE UNIDADE DESCONCENTRADA DA SEMA - DUDS</v>
      </c>
      <c r="C8" s="1881"/>
      <c r="D8" s="378">
        <f>'PLANILHA SEM DESON'!I12</f>
        <v>0</v>
      </c>
      <c r="E8" s="961">
        <f>'PLANILHA SEM DESON'!J12</f>
        <v>0</v>
      </c>
    </row>
    <row r="9" spans="1:9">
      <c r="A9" s="12" t="str">
        <f>'PLANILHA SEM DESON'!A11</f>
        <v>ENDEREÇO:</v>
      </c>
      <c r="B9" s="1882" t="str">
        <f>'PLANILHA SEM DESON'!B11:B11</f>
        <v>RUA 24 A - JARDIM TANGARA II</v>
      </c>
      <c r="C9" s="1883"/>
      <c r="D9" s="378" t="str">
        <f>'PLANILHA SEM DESON'!I13</f>
        <v>Prazo:</v>
      </c>
      <c r="E9" s="379" t="str">
        <f>'PLANILHA SEM DESON'!J13</f>
        <v>120 dias</v>
      </c>
    </row>
    <row r="10" spans="1:9">
      <c r="A10" s="12" t="str">
        <f>'PLANILHA SEM DESON'!A12</f>
        <v>MUNICÍPIO:</v>
      </c>
      <c r="B10" s="1882" t="str">
        <f>'PLANILHA SEM DESON'!B12:C12</f>
        <v>TANGARÁ DA SERRA - MT</v>
      </c>
      <c r="C10" s="1883"/>
      <c r="D10" s="378" t="str">
        <f>'PLANILHA SEM DESON'!I11</f>
        <v>BDI:</v>
      </c>
      <c r="E10" s="541">
        <f>'PLANILHA SEM DESON'!J11</f>
        <v>0.2223</v>
      </c>
    </row>
    <row r="11" spans="1:9" ht="15.75" customHeight="1" thickBot="1">
      <c r="A11" s="1764" t="str">
        <f>'PLANILHA SEM DESON'!A13</f>
        <v>ASSUNTO:</v>
      </c>
      <c r="B11" s="1884" t="str">
        <f>'PLANILHA SEM DESON'!B13</f>
        <v xml:space="preserve">CONSTRUÇÃO </v>
      </c>
      <c r="C11" s="1885"/>
      <c r="D11" s="1765"/>
      <c r="E11" s="1766"/>
    </row>
    <row r="12" spans="1:9" ht="6.75" customHeight="1" thickBot="1">
      <c r="A12" s="956"/>
      <c r="B12" s="313"/>
      <c r="C12" s="4"/>
      <c r="D12" s="11"/>
      <c r="E12" s="11"/>
      <c r="F12" s="16"/>
    </row>
    <row r="13" spans="1:9" ht="16.5" thickBot="1">
      <c r="A13" s="1886" t="s">
        <v>27</v>
      </c>
      <c r="B13" s="1887"/>
      <c r="C13" s="1887"/>
      <c r="D13" s="1887"/>
      <c r="E13" s="1888"/>
    </row>
    <row r="14" spans="1:9" ht="13.5" customHeight="1">
      <c r="A14" s="383" t="s">
        <v>28</v>
      </c>
      <c r="B14" s="1889" t="s">
        <v>29</v>
      </c>
      <c r="C14" s="1890"/>
      <c r="D14" s="384" t="s">
        <v>30</v>
      </c>
      <c r="E14" s="385" t="s">
        <v>31</v>
      </c>
    </row>
    <row r="15" spans="1:9" ht="15.75">
      <c r="A15" s="68">
        <f>'PLANILHA SEM DESON'!A16</f>
        <v>1</v>
      </c>
      <c r="B15" s="1891" t="str">
        <f>'PLANILHA SEM DESON'!C16</f>
        <v>ADMINISTRAÇÃO LOCAL</v>
      </c>
      <c r="C15" s="1892"/>
      <c r="D15" s="5">
        <f>'PLANILHA SEM DESON'!J18</f>
        <v>98078.52</v>
      </c>
      <c r="E15" s="6">
        <f t="shared" ref="E15:E38" si="0">(D15/$D$38)*100</f>
        <v>5.6456961807946824</v>
      </c>
    </row>
    <row r="16" spans="1:9" ht="15.75">
      <c r="A16" s="68">
        <f>'PLANILHA SEM DESON'!A19</f>
        <v>2</v>
      </c>
      <c r="B16" s="1877" t="str">
        <f>'PLANILHA SEM DESON'!C19</f>
        <v>SERVIÇO PRELIMINARES</v>
      </c>
      <c r="C16" s="1878"/>
      <c r="D16" s="5">
        <f>'PLANILHA SEM DESON'!J34</f>
        <v>166577.95000000001</v>
      </c>
      <c r="E16" s="6">
        <f t="shared" si="0"/>
        <v>9.5887305000076228</v>
      </c>
    </row>
    <row r="17" spans="1:5" ht="15.75">
      <c r="A17" s="68">
        <f>'PLANILHA SEM DESON'!A35</f>
        <v>3</v>
      </c>
      <c r="B17" s="1877" t="str">
        <f>'PLANILHA SEM DESON'!C35</f>
        <v>MOVIMENTO DE TERRA</v>
      </c>
      <c r="C17" s="1893"/>
      <c r="D17" s="5">
        <f>'PLANILHA SEM DESON'!J39</f>
        <v>44206.14</v>
      </c>
      <c r="E17" s="6">
        <f t="shared" si="0"/>
        <v>2.5446390888206207</v>
      </c>
    </row>
    <row r="18" spans="1:5" ht="15.75">
      <c r="A18" s="957">
        <f>'PLANILHA SEM DESON'!A40</f>
        <v>4</v>
      </c>
      <c r="B18" s="1901" t="str">
        <f>'PLANILHA SEM DESON'!C40</f>
        <v>ESTRUTURA EM CONCRETO ARMADO</v>
      </c>
      <c r="C18" s="1902"/>
      <c r="D18" s="958">
        <f>'PLANILHA SEM DESON'!J94</f>
        <v>251904.65</v>
      </c>
      <c r="E18" s="6">
        <f t="shared" si="0"/>
        <v>14.500393362679423</v>
      </c>
    </row>
    <row r="19" spans="1:5" ht="16.5" customHeight="1">
      <c r="A19" s="959">
        <f>'PLANILHA SEM DESON'!A95</f>
        <v>5</v>
      </c>
      <c r="B19" s="1877" t="str">
        <f>'PLANILHA SEM DESON'!C95</f>
        <v>FECHAMENTOS EM ALVENARIA</v>
      </c>
      <c r="C19" s="1878"/>
      <c r="D19" s="960">
        <f>'PLANILHA SEM DESON'!J104</f>
        <v>95039.86</v>
      </c>
      <c r="E19" s="6">
        <f t="shared" si="0"/>
        <v>5.4707817229018261</v>
      </c>
    </row>
    <row r="20" spans="1:5" ht="16.5" customHeight="1">
      <c r="A20" s="959">
        <f>'PLANILHA SEM DESON'!A105</f>
        <v>6</v>
      </c>
      <c r="B20" s="1877" t="str">
        <f>'PLANILHA SEM DESON'!C105</f>
        <v>REVESTIMENTO DE PISO</v>
      </c>
      <c r="C20" s="1878"/>
      <c r="D20" s="960">
        <f>'PLANILHA SEM DESON'!J113</f>
        <v>89062.42</v>
      </c>
      <c r="E20" s="6">
        <f t="shared" si="0"/>
        <v>5.1267022019330213</v>
      </c>
    </row>
    <row r="21" spans="1:5" ht="16.5" customHeight="1">
      <c r="A21" s="959">
        <f>'PLANILHA SEM DESON'!A114</f>
        <v>7</v>
      </c>
      <c r="B21" s="1877" t="str">
        <f>'PLANILHA SEM DESON'!C114</f>
        <v>REVESTIMENTO DE PAREDE</v>
      </c>
      <c r="C21" s="1878"/>
      <c r="D21" s="960">
        <f>'PLANILHA SEM DESON'!J125</f>
        <v>101468.36</v>
      </c>
      <c r="E21" s="6">
        <f t="shared" si="0"/>
        <v>5.8408256213847825</v>
      </c>
    </row>
    <row r="22" spans="1:5" ht="15.75">
      <c r="A22" s="959">
        <f>'PLANILHA SEM DESON'!A126</f>
        <v>8</v>
      </c>
      <c r="B22" s="1877" t="str">
        <f>'PLANILHA SEM DESON'!C126</f>
        <v>ESQUADRIAS</v>
      </c>
      <c r="C22" s="1878"/>
      <c r="D22" s="960">
        <f>'PLANILHA SEM DESON'!J142</f>
        <v>86882.95</v>
      </c>
      <c r="E22" s="6">
        <f t="shared" si="0"/>
        <v>5.0012453184568368</v>
      </c>
    </row>
    <row r="23" spans="1:5" ht="15.75" customHeight="1">
      <c r="A23" s="959">
        <f>'PLANILHA SEM DESON'!A143</f>
        <v>9</v>
      </c>
      <c r="B23" s="1877" t="str">
        <f>'PLANILHA SEM DESON'!C143</f>
        <v>PINTURA</v>
      </c>
      <c r="C23" s="1878"/>
      <c r="D23" s="960">
        <f>'PLANILHA SEM DESON'!J156</f>
        <v>53690.96</v>
      </c>
      <c r="E23" s="6">
        <f t="shared" si="0"/>
        <v>3.090614008196698</v>
      </c>
    </row>
    <row r="24" spans="1:5" ht="15.75" customHeight="1">
      <c r="A24" s="959" t="str">
        <f>'PLANILHA SEM DESON'!A158</f>
        <v>10.1</v>
      </c>
      <c r="B24" s="1877" t="str">
        <f>'PLANILHA SEM DESON'!C158</f>
        <v>ESTRUTURA METÁLICA</v>
      </c>
      <c r="C24" s="1878"/>
      <c r="D24" s="960">
        <f>'PLANILHA SEM DESON'!J163</f>
        <v>62909.15</v>
      </c>
      <c r="E24" s="6">
        <f t="shared" si="0"/>
        <v>3.6212408985376183</v>
      </c>
    </row>
    <row r="25" spans="1:5" ht="15.75" customHeight="1">
      <c r="A25" s="959" t="str">
        <f>'PLANILHA SEM DESON'!A164</f>
        <v>10.2</v>
      </c>
      <c r="B25" s="1877" t="str">
        <f>'PLANILHA SEM DESON'!C164</f>
        <v>TELHAMENTO E ACESSÓRIOS</v>
      </c>
      <c r="C25" s="1878"/>
      <c r="D25" s="960">
        <f>'PLANILHA SEM DESON'!J166</f>
        <v>50793.68</v>
      </c>
      <c r="E25" s="6">
        <f t="shared" si="0"/>
        <v>2.9238378106083496</v>
      </c>
    </row>
    <row r="26" spans="1:5" ht="15.75">
      <c r="A26" s="959">
        <f>'PLANILHA SEM DESON'!A167</f>
        <v>11</v>
      </c>
      <c r="B26" s="1877" t="str">
        <f>'PLANILHA SEM DESON'!C167</f>
        <v>INSTALAÇÕES ELÉTRICAS</v>
      </c>
      <c r="C26" s="1878"/>
      <c r="D26" s="960">
        <f>'PLANILHA SEM DESON'!J219</f>
        <v>37805.99</v>
      </c>
      <c r="E26" s="6">
        <f t="shared" si="0"/>
        <v>2.1762271020623265</v>
      </c>
    </row>
    <row r="27" spans="1:5" ht="15.75">
      <c r="A27" s="959" t="str">
        <f>'PLANILHA SEM DESON'!A220</f>
        <v>11.2</v>
      </c>
      <c r="B27" s="1877" t="str">
        <f>'PLANILHA SEM DESON'!C220</f>
        <v xml:space="preserve">CABEAMENTO ESTRUTURADO </v>
      </c>
      <c r="C27" s="1878"/>
      <c r="D27" s="960">
        <f>'PLANILHA SEM DESON'!J249</f>
        <v>27311.279999999999</v>
      </c>
      <c r="E27" s="6">
        <f t="shared" si="0"/>
        <v>1.5721198605832771</v>
      </c>
    </row>
    <row r="28" spans="1:5" ht="15.75">
      <c r="A28" s="959">
        <f>'PLANILHA SEM DESON'!A250</f>
        <v>12</v>
      </c>
      <c r="B28" s="1877" t="str">
        <f>'PLANILHA SEM DESON'!C250</f>
        <v>SPDA</v>
      </c>
      <c r="C28" s="1878"/>
      <c r="D28" s="960">
        <f>'PLANILHA SEM DESON'!J258</f>
        <v>27177.99</v>
      </c>
      <c r="E28" s="6">
        <f t="shared" si="0"/>
        <v>1.5644472851412936</v>
      </c>
    </row>
    <row r="29" spans="1:5" ht="15.75">
      <c r="A29" s="959">
        <f>'PLANILHA SEM DESON'!A259</f>
        <v>13</v>
      </c>
      <c r="B29" s="1877" t="str">
        <f>'PLANILHA SEM DESON'!C259</f>
        <v>INSTALAÇÕES HIDRÁULICAS</v>
      </c>
      <c r="C29" s="1878"/>
      <c r="D29" s="960">
        <f>'PLANILHA SEM DESON'!J290</f>
        <v>18612.84</v>
      </c>
      <c r="E29" s="6">
        <f t="shared" si="0"/>
        <v>1.0714113518611668</v>
      </c>
    </row>
    <row r="30" spans="1:5" ht="15.75">
      <c r="A30" s="959">
        <f>'PLANILHA SEM DESON'!A291</f>
        <v>14</v>
      </c>
      <c r="B30" s="1877" t="str">
        <f>'PLANILHA SEM DESON'!C291</f>
        <v>APARELHOS E METAIS</v>
      </c>
      <c r="C30" s="1878"/>
      <c r="D30" s="960">
        <f>'PLANILHA SEM DESON'!J307</f>
        <v>10002.299999999999</v>
      </c>
      <c r="E30" s="6">
        <f t="shared" si="0"/>
        <v>0.57576263293086649</v>
      </c>
    </row>
    <row r="31" spans="1:5" ht="15.75">
      <c r="A31" s="959" t="str">
        <f>'PLANILHA SEM DESON'!A309</f>
        <v>15.1</v>
      </c>
      <c r="B31" s="1877" t="str">
        <f>'PLANILHA SEM DESON'!C309</f>
        <v>SERVIÇOS DE INSTALAÇÕES SANITÁRIAS</v>
      </c>
      <c r="C31" s="1878"/>
      <c r="D31" s="960">
        <f>'PLANILHA SEM DESON'!J336</f>
        <v>7689.86</v>
      </c>
      <c r="E31" s="6">
        <f t="shared" si="0"/>
        <v>0.4426515941803138</v>
      </c>
    </row>
    <row r="32" spans="1:5" ht="15.75">
      <c r="A32" s="959" t="str">
        <f>'PLANILHA SEM DESON'!A338</f>
        <v>15.2.1</v>
      </c>
      <c r="B32" s="1877" t="str">
        <f>'PLANILHA SEM DESON'!C338</f>
        <v xml:space="preserve">SUMIDOURO CIRCULAR, EM ALVENARIA COM TIJOLOS CERÂMICOS MACIÇOS, DIMENSÕES INTERNAS: DIAMETRO 2,84 M, ALTURA 3,00 M, ÁREA DE INFILTRAÇÃO: 132,40 M² </v>
      </c>
      <c r="C32" s="1878"/>
      <c r="D32" s="960">
        <f>'PLANILHA SEM DESON'!J349</f>
        <v>6887.55</v>
      </c>
      <c r="E32" s="6">
        <f t="shared" si="0"/>
        <v>0.39646820455725074</v>
      </c>
    </row>
    <row r="33" spans="1:5" ht="15.75">
      <c r="A33" s="959" t="str">
        <f>'PLANILHA SEM DESON'!A350</f>
        <v>15.2.2</v>
      </c>
      <c r="B33" s="1877" t="str">
        <f>'PLANILHA SEM DESON'!C350</f>
        <v>FOSSA SÉPTICA E FILTRO ANAERÓBIO CONJUGADO EM BLOCO DE CONCRETO</v>
      </c>
      <c r="C33" s="1878"/>
      <c r="D33" s="960">
        <f>'PLANILHA SEM DESON'!J363</f>
        <v>9281.23</v>
      </c>
      <c r="E33" s="6">
        <f t="shared" si="0"/>
        <v>0.53425566336112151</v>
      </c>
    </row>
    <row r="34" spans="1:5" ht="15.75">
      <c r="A34" s="959">
        <f>'PLANILHA SEM DESON'!A364</f>
        <v>16</v>
      </c>
      <c r="B34" s="1877" t="str">
        <f>'PLANILHA SEM DESON'!C364</f>
        <v xml:space="preserve">BANCADAS, RODABANCADAS, DIVISÓRIAS E REQUADRO EM GRANITO </v>
      </c>
      <c r="C34" s="1878"/>
      <c r="D34" s="960">
        <f>'PLANILHA SEM DESON'!J371</f>
        <v>12773.34</v>
      </c>
      <c r="E34" s="6">
        <f t="shared" si="0"/>
        <v>0.73527207439500453</v>
      </c>
    </row>
    <row r="35" spans="1:5" ht="15.75">
      <c r="A35" s="959">
        <f>'PLANILHA SEM DESON'!A372</f>
        <v>17</v>
      </c>
      <c r="B35" s="1877" t="str">
        <f>'PLANILHA SEM DESON'!C372</f>
        <v>MURO DE DIVISA E MURETA DO GRADIL</v>
      </c>
      <c r="C35" s="1878"/>
      <c r="D35" s="960">
        <f>'PLANILHA SEM DESON'!J407</f>
        <v>343480.79</v>
      </c>
      <c r="E35" s="6">
        <f t="shared" si="0"/>
        <v>19.77179288879298</v>
      </c>
    </row>
    <row r="36" spans="1:5" ht="15.75">
      <c r="A36" s="959">
        <f>'PLANILHA SEM DESON'!A408</f>
        <v>18</v>
      </c>
      <c r="B36" s="1877" t="str">
        <f>'PLANILHA SEM DESON'!C408</f>
        <v>SERVIÇOS CONSTRUTIVOS COMPLEMENTARES</v>
      </c>
      <c r="C36" s="1878"/>
      <c r="D36" s="960">
        <f>'PLANILHA SEM DESON'!J424</f>
        <v>134296.66</v>
      </c>
      <c r="E36" s="6">
        <f t="shared" si="0"/>
        <v>7.7305218355199683</v>
      </c>
    </row>
    <row r="37" spans="1:5" ht="15.75">
      <c r="A37" s="959">
        <f>'PLANILHA SEM DESON'!A425</f>
        <v>19</v>
      </c>
      <c r="B37" s="1877" t="str">
        <f>'PLANILHA SEM DESON'!C425</f>
        <v>LIMPEZA GERAL</v>
      </c>
      <c r="C37" s="1878"/>
      <c r="D37" s="960">
        <f>'PLANILHA SEM DESON'!J429</f>
        <v>1291.8499999999999</v>
      </c>
      <c r="E37" s="6">
        <f t="shared" si="0"/>
        <v>7.4362792292946595E-2</v>
      </c>
    </row>
    <row r="38" spans="1:5" ht="15.75">
      <c r="A38" s="1898" t="s">
        <v>25</v>
      </c>
      <c r="B38" s="1899"/>
      <c r="C38" s="1900"/>
      <c r="D38" s="7">
        <f>TRUNC(SUM(D15:D37),2)</f>
        <v>1737226.32</v>
      </c>
      <c r="E38" s="6">
        <f t="shared" si="0"/>
        <v>100</v>
      </c>
    </row>
    <row r="39" spans="1:5" ht="15.75">
      <c r="A39" s="1894"/>
      <c r="B39" s="1895"/>
      <c r="C39" s="17" t="s">
        <v>32</v>
      </c>
      <c r="D39" s="1896">
        <f>D38</f>
        <v>1737226.32</v>
      </c>
      <c r="E39" s="1897"/>
    </row>
    <row r="40" spans="1:5">
      <c r="A40" s="1853"/>
      <c r="B40" s="1853"/>
      <c r="C40" s="1853"/>
      <c r="D40" s="1853"/>
      <c r="E40" s="1853"/>
    </row>
    <row r="41" spans="1:5">
      <c r="A41" s="1853"/>
      <c r="B41" s="1853"/>
      <c r="C41" s="1853"/>
      <c r="D41" s="1853"/>
      <c r="E41" s="1854" t="s">
        <v>2918</v>
      </c>
    </row>
    <row r="42" spans="1:5">
      <c r="A42" s="1853"/>
      <c r="B42" s="1853"/>
      <c r="C42" s="1853"/>
      <c r="D42" s="1853"/>
      <c r="E42" s="1853"/>
    </row>
    <row r="43" spans="1:5">
      <c r="A43" s="1853"/>
      <c r="B43" s="1853"/>
      <c r="C43" s="1853"/>
      <c r="D43" s="1853"/>
      <c r="E43" s="1853"/>
    </row>
    <row r="44" spans="1:5">
      <c r="A44" s="1853"/>
      <c r="B44" s="1853"/>
      <c r="C44" s="1853"/>
      <c r="D44" s="1853"/>
      <c r="E44" s="1853"/>
    </row>
    <row r="45" spans="1:5">
      <c r="A45" s="1853"/>
      <c r="B45" s="1853"/>
      <c r="C45" s="1853"/>
      <c r="D45" s="1853"/>
      <c r="E45" s="1853"/>
    </row>
    <row r="46" spans="1:5">
      <c r="A46" s="1853"/>
      <c r="B46" s="1853"/>
      <c r="C46" s="1853"/>
      <c r="D46" s="1853"/>
      <c r="E46" s="1853"/>
    </row>
    <row r="47" spans="1:5">
      <c r="A47" s="1876" t="s">
        <v>2919</v>
      </c>
      <c r="B47" s="1876"/>
      <c r="C47" s="1876"/>
      <c r="D47" s="1876"/>
      <c r="E47" s="1876"/>
    </row>
    <row r="48" spans="1:5">
      <c r="A48" s="1876" t="s">
        <v>2916</v>
      </c>
      <c r="B48" s="1876"/>
      <c r="C48" s="1876"/>
      <c r="D48" s="1876"/>
      <c r="E48" s="1876"/>
    </row>
    <row r="49" spans="1:5">
      <c r="A49" s="1876" t="s">
        <v>2920</v>
      </c>
      <c r="B49" s="1876"/>
      <c r="C49" s="1876"/>
      <c r="D49" s="1876"/>
      <c r="E49" s="1876"/>
    </row>
    <row r="50" spans="1:5">
      <c r="A50" s="1876" t="s">
        <v>2921</v>
      </c>
      <c r="B50" s="1876"/>
      <c r="C50" s="1876"/>
      <c r="D50" s="1876"/>
      <c r="E50" s="1876"/>
    </row>
    <row r="51" spans="1:5">
      <c r="A51" s="1876" t="s">
        <v>2917</v>
      </c>
      <c r="B51" s="1876"/>
      <c r="C51" s="1876"/>
      <c r="D51" s="1876"/>
      <c r="E51" s="1876"/>
    </row>
    <row r="52" spans="1:5">
      <c r="A52" s="1853"/>
      <c r="B52" s="1853"/>
      <c r="C52" s="1853"/>
      <c r="D52" s="1853"/>
      <c r="E52" s="1853"/>
    </row>
    <row r="53" spans="1:5">
      <c r="A53" s="1853"/>
      <c r="B53" s="1853"/>
      <c r="C53" s="1853"/>
      <c r="D53" s="1853"/>
      <c r="E53" s="1853"/>
    </row>
  </sheetData>
  <mergeCells count="40">
    <mergeCell ref="B18:C18"/>
    <mergeCell ref="B20:C20"/>
    <mergeCell ref="B19:C19"/>
    <mergeCell ref="B21:C21"/>
    <mergeCell ref="B24:C24"/>
    <mergeCell ref="B23:C23"/>
    <mergeCell ref="B31:C31"/>
    <mergeCell ref="B32:C32"/>
    <mergeCell ref="B33:C33"/>
    <mergeCell ref="B22:C22"/>
    <mergeCell ref="B26:C26"/>
    <mergeCell ref="B28:C28"/>
    <mergeCell ref="B30:C30"/>
    <mergeCell ref="B25:C25"/>
    <mergeCell ref="B36:C36"/>
    <mergeCell ref="B37:C37"/>
    <mergeCell ref="A39:B39"/>
    <mergeCell ref="D39:E39"/>
    <mergeCell ref="A38:C38"/>
    <mergeCell ref="B34:C34"/>
    <mergeCell ref="B35:C35"/>
    <mergeCell ref="A2:E2"/>
    <mergeCell ref="A3:E3"/>
    <mergeCell ref="B7:C7"/>
    <mergeCell ref="B8:C8"/>
    <mergeCell ref="B9:C9"/>
    <mergeCell ref="B10:C10"/>
    <mergeCell ref="B11:C11"/>
    <mergeCell ref="A13:E13"/>
    <mergeCell ref="B14:C14"/>
    <mergeCell ref="B27:C27"/>
    <mergeCell ref="B29:C29"/>
    <mergeCell ref="B15:C15"/>
    <mergeCell ref="B17:C17"/>
    <mergeCell ref="B16:C16"/>
    <mergeCell ref="A47:E47"/>
    <mergeCell ref="A48:E48"/>
    <mergeCell ref="A49:E49"/>
    <mergeCell ref="A50:E50"/>
    <mergeCell ref="A51:E51"/>
  </mergeCells>
  <printOptions horizontalCentered="1"/>
  <pageMargins left="0.39370078740157483" right="0.39370078740157483" top="0.39370078740157483" bottom="0.39370078740157483" header="0.31496062992125984" footer="0.31496062992125984"/>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7"/>
  <sheetViews>
    <sheetView tabSelected="1" view="pageBreakPreview" topLeftCell="A16" zoomScale="115" zoomScaleNormal="100" zoomScaleSheetLayoutView="115" workbookViewId="0">
      <selection activeCell="H48" sqref="H48"/>
    </sheetView>
  </sheetViews>
  <sheetFormatPr defaultRowHeight="15"/>
  <cols>
    <col min="1" max="1" width="40.140625" customWidth="1"/>
    <col min="2" max="2" width="22" customWidth="1"/>
    <col min="3" max="3" width="14" customWidth="1"/>
  </cols>
  <sheetData>
    <row r="1" spans="1:4" ht="15.75">
      <c r="A1" s="2113"/>
      <c r="B1" s="2114"/>
      <c r="C1" s="2114"/>
      <c r="D1" s="16"/>
    </row>
    <row r="2" spans="1:4">
      <c r="A2" s="2115"/>
      <c r="B2" s="2116"/>
      <c r="C2" s="2116"/>
      <c r="D2" s="16"/>
    </row>
    <row r="3" spans="1:4">
      <c r="A3" s="2117"/>
      <c r="B3" s="2118"/>
      <c r="C3" s="2118"/>
      <c r="D3" s="16"/>
    </row>
    <row r="4" spans="1:4" ht="87" customHeight="1" thickBot="1">
      <c r="A4" s="2122"/>
      <c r="B4" s="2123"/>
      <c r="C4" s="2123"/>
      <c r="D4" s="16"/>
    </row>
    <row r="5" spans="1:4" ht="30.75" customHeight="1">
      <c r="A5" s="2119" t="s">
        <v>183</v>
      </c>
      <c r="B5" s="2120"/>
      <c r="C5" s="2121"/>
    </row>
    <row r="6" spans="1:4" ht="15.75">
      <c r="A6" s="137"/>
      <c r="B6" s="138"/>
      <c r="C6" s="139"/>
    </row>
    <row r="7" spans="1:4">
      <c r="A7" s="140"/>
      <c r="B7" s="141" t="s">
        <v>141</v>
      </c>
      <c r="C7" s="142">
        <v>42339</v>
      </c>
    </row>
    <row r="8" spans="1:4" ht="15.75" thickBot="1">
      <c r="A8" s="140"/>
      <c r="B8" s="143"/>
      <c r="C8" s="142"/>
    </row>
    <row r="9" spans="1:4" ht="15.75" thickBot="1">
      <c r="A9" s="2109" t="s">
        <v>142</v>
      </c>
      <c r="B9" s="2110"/>
      <c r="C9" s="144" t="s">
        <v>31</v>
      </c>
    </row>
    <row r="10" spans="1:4">
      <c r="A10" s="145" t="s">
        <v>143</v>
      </c>
      <c r="B10" s="146"/>
      <c r="C10" s="147">
        <v>0.04</v>
      </c>
    </row>
    <row r="11" spans="1:4">
      <c r="A11" s="148" t="s">
        <v>144</v>
      </c>
      <c r="B11" s="149"/>
      <c r="C11" s="150">
        <v>1.23E-2</v>
      </c>
    </row>
    <row r="12" spans="1:4">
      <c r="A12" s="148" t="s">
        <v>145</v>
      </c>
      <c r="B12" s="149"/>
      <c r="C12" s="150">
        <v>1.2699999999999999E-2</v>
      </c>
    </row>
    <row r="13" spans="1:4" ht="15.75" thickBot="1">
      <c r="A13" s="151" t="s">
        <v>146</v>
      </c>
      <c r="B13" s="152"/>
      <c r="C13" s="153">
        <v>8.0000000000000002E-3</v>
      </c>
    </row>
    <row r="14" spans="1:4" ht="15.75" thickBot="1">
      <c r="A14" s="154"/>
      <c r="B14" s="155" t="s">
        <v>147</v>
      </c>
      <c r="C14" s="156">
        <f>SUM(C10:C13)</f>
        <v>7.3000000000000009E-2</v>
      </c>
    </row>
    <row r="15" spans="1:4" ht="15.75" thickBot="1">
      <c r="A15" s="2109" t="s">
        <v>148</v>
      </c>
      <c r="B15" s="2110"/>
      <c r="C15" s="144" t="s">
        <v>31</v>
      </c>
    </row>
    <row r="16" spans="1:4" ht="15.75" thickBot="1">
      <c r="A16" s="148" t="s">
        <v>149</v>
      </c>
      <c r="B16" s="149"/>
      <c r="C16" s="157">
        <v>7.3999999999999996E-2</v>
      </c>
    </row>
    <row r="17" spans="1:4" ht="15.75" thickBot="1">
      <c r="A17" s="154"/>
      <c r="B17" s="155" t="s">
        <v>147</v>
      </c>
      <c r="C17" s="156">
        <f>SUM(C16)</f>
        <v>7.3999999999999996E-2</v>
      </c>
    </row>
    <row r="18" spans="1:4" ht="15.75" thickBot="1">
      <c r="A18" s="2109"/>
      <c r="B18" s="2110"/>
      <c r="C18" s="156"/>
    </row>
    <row r="19" spans="1:4" ht="15.75" thickBot="1">
      <c r="A19" s="2109" t="s">
        <v>150</v>
      </c>
      <c r="B19" s="2110"/>
      <c r="C19" s="144" t="s">
        <v>31</v>
      </c>
    </row>
    <row r="20" spans="1:4">
      <c r="A20" s="148" t="s">
        <v>151</v>
      </c>
      <c r="B20" s="158"/>
      <c r="C20" s="150">
        <v>6.4999999999999997E-3</v>
      </c>
    </row>
    <row r="21" spans="1:4">
      <c r="A21" s="148" t="s">
        <v>152</v>
      </c>
      <c r="B21" s="158"/>
      <c r="C21" s="150">
        <v>0.03</v>
      </c>
    </row>
    <row r="22" spans="1:4" ht="15.75" thickBot="1">
      <c r="A22" s="148" t="s">
        <v>153</v>
      </c>
      <c r="B22" s="158"/>
      <c r="C22" s="150">
        <v>0.02</v>
      </c>
    </row>
    <row r="23" spans="1:4" ht="15.75" thickBot="1">
      <c r="A23" s="154"/>
      <c r="B23" s="155" t="s">
        <v>147</v>
      </c>
      <c r="C23" s="156">
        <f>SUM(C20:C22)</f>
        <v>5.6499999999999995E-2</v>
      </c>
    </row>
    <row r="24" spans="1:4" ht="15.75" thickBot="1">
      <c r="A24" s="154"/>
      <c r="B24" s="159"/>
      <c r="C24" s="160"/>
    </row>
    <row r="25" spans="1:4">
      <c r="A25" s="2111"/>
      <c r="B25" s="2112"/>
      <c r="C25" s="161"/>
      <c r="D25" s="171">
        <f>(1+C10+C12+C13)*(1+C11)*(1+C16)</f>
        <v>1.15320385914</v>
      </c>
    </row>
    <row r="26" spans="1:4" ht="25.5" customHeight="1" thickBot="1">
      <c r="A26" s="162"/>
      <c r="B26" s="163" t="s">
        <v>154</v>
      </c>
      <c r="C26" s="164">
        <f>(D25/D26)-1</f>
        <v>0.22226164190779008</v>
      </c>
      <c r="D26" s="171">
        <f>(1-C23)</f>
        <v>0.94350000000000001</v>
      </c>
    </row>
    <row r="27" spans="1:4" ht="63.75" customHeight="1" thickBot="1">
      <c r="A27" s="2106" t="s">
        <v>2396</v>
      </c>
      <c r="B27" s="2107"/>
      <c r="C27" s="2108"/>
    </row>
    <row r="29" spans="1:4">
      <c r="C29" s="1852" t="str">
        <f>'RESUMO SEM DESONERAÇÃO'!$E$41</f>
        <v>CUIABÁ-MT, 15 DE MAIO DE 2023.</v>
      </c>
    </row>
    <row r="33" spans="1:3">
      <c r="A33" s="1903" t="str">
        <f>'RESUMO SEM DESONERAÇÃO'!$A$47:$E$47</f>
        <v>_______________________________________</v>
      </c>
      <c r="B33" s="1903"/>
      <c r="C33" s="1903"/>
    </row>
    <row r="34" spans="1:3">
      <c r="A34" s="1903" t="str">
        <f>'RESUMO SEM DESONERAÇÃO'!$A$48:$E$48</f>
        <v>PAULO PAZETO MEDEIROS</v>
      </c>
      <c r="B34" s="1903"/>
      <c r="C34" s="1903"/>
    </row>
    <row r="35" spans="1:3">
      <c r="A35" s="1903" t="str">
        <f>'RESUMO SEM DESONERAÇÃO'!$A$49:$E$49</f>
        <v>DIRETOR/ENGENHEIRO CIVIL</v>
      </c>
      <c r="B35" s="1903"/>
      <c r="C35" s="1903"/>
    </row>
    <row r="36" spans="1:3">
      <c r="A36" s="1903" t="str">
        <f>'RESUMO SEM DESONERAÇÃO'!$A$50:$E$50</f>
        <v>CREA MT034442</v>
      </c>
      <c r="B36" s="1903"/>
      <c r="C36" s="1903"/>
    </row>
    <row r="37" spans="1:3">
      <c r="A37" s="1903" t="str">
        <f>'RESUMO SEM DESONERAÇÃO'!$A$51:$E$51</f>
        <v>CPF 037.578.081-50</v>
      </c>
      <c r="B37" s="1903"/>
      <c r="C37" s="1903"/>
    </row>
  </sheetData>
  <mergeCells count="16">
    <mergeCell ref="A27:C27"/>
    <mergeCell ref="A18:B18"/>
    <mergeCell ref="A19:B19"/>
    <mergeCell ref="A25:B25"/>
    <mergeCell ref="A1:C1"/>
    <mergeCell ref="A2:C2"/>
    <mergeCell ref="A3:C3"/>
    <mergeCell ref="A5:C5"/>
    <mergeCell ref="A9:B9"/>
    <mergeCell ref="A15:B15"/>
    <mergeCell ref="A4:C4"/>
    <mergeCell ref="A33:C33"/>
    <mergeCell ref="A34:C34"/>
    <mergeCell ref="A35:C35"/>
    <mergeCell ref="A36:C36"/>
    <mergeCell ref="A37:C37"/>
  </mergeCells>
  <printOptions horizontalCentered="1"/>
  <pageMargins left="0.39370078740157483" right="0.39370078740157483" top="0.39370078740157483" bottom="0.39370078740157483" header="0.31496062992125984" footer="0.31496062992125984"/>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FD39-F12C-4B2F-B7E3-2A3BE0BC5D7E}">
  <dimension ref="A1:D49"/>
  <sheetViews>
    <sheetView tabSelected="1" view="pageBreakPreview" zoomScaleNormal="100" zoomScaleSheetLayoutView="100" workbookViewId="0">
      <selection activeCell="H48" sqref="H48"/>
    </sheetView>
  </sheetViews>
  <sheetFormatPr defaultRowHeight="15"/>
  <cols>
    <col min="1" max="1" width="14.42578125" bestFit="1" customWidth="1"/>
    <col min="2" max="2" width="41.85546875" customWidth="1"/>
    <col min="3" max="3" width="13.85546875" bestFit="1" customWidth="1"/>
    <col min="4" max="4" width="18.5703125" customWidth="1"/>
  </cols>
  <sheetData>
    <row r="1" spans="1:4" ht="90.75" customHeight="1" thickBot="1">
      <c r="A1" s="2127"/>
      <c r="B1" s="2128"/>
      <c r="C1" s="2128"/>
      <c r="D1" s="2129"/>
    </row>
    <row r="2" spans="1:4" ht="18">
      <c r="A2" s="2130" t="s">
        <v>2847</v>
      </c>
      <c r="B2" s="2131"/>
      <c r="C2" s="2131"/>
      <c r="D2" s="2132"/>
    </row>
    <row r="3" spans="1:4" ht="15.75">
      <c r="A3" s="2133" t="s">
        <v>2848</v>
      </c>
      <c r="B3" s="2134"/>
      <c r="C3" s="2134"/>
      <c r="D3" s="2135"/>
    </row>
    <row r="4" spans="1:4" ht="18">
      <c r="A4" s="2136" t="s">
        <v>2849</v>
      </c>
      <c r="B4" s="2137"/>
      <c r="C4" s="2137"/>
      <c r="D4" s="1834"/>
    </row>
    <row r="5" spans="1:4" ht="17.25" thickBot="1">
      <c r="A5" s="2138"/>
      <c r="B5" s="2139"/>
      <c r="C5" s="2139"/>
      <c r="D5" s="2140"/>
    </row>
    <row r="6" spans="1:4" ht="16.5">
      <c r="A6" s="2141" t="s">
        <v>2468</v>
      </c>
      <c r="B6" s="2143" t="s">
        <v>308</v>
      </c>
      <c r="C6" s="2145" t="s">
        <v>2850</v>
      </c>
      <c r="D6" s="2146"/>
    </row>
    <row r="7" spans="1:4" ht="33">
      <c r="A7" s="2142"/>
      <c r="B7" s="2144"/>
      <c r="C7" s="1835" t="s">
        <v>2851</v>
      </c>
      <c r="D7" s="1836" t="s">
        <v>2852</v>
      </c>
    </row>
    <row r="8" spans="1:4" ht="16.5">
      <c r="A8" s="2124" t="s">
        <v>2853</v>
      </c>
      <c r="B8" s="2125"/>
      <c r="C8" s="2125"/>
      <c r="D8" s="2126"/>
    </row>
    <row r="9" spans="1:4" ht="16.5">
      <c r="A9" s="1837" t="s">
        <v>2854</v>
      </c>
      <c r="B9" s="1838" t="s">
        <v>2855</v>
      </c>
      <c r="C9" s="1839">
        <v>0.2</v>
      </c>
      <c r="D9" s="1840">
        <v>0.2</v>
      </c>
    </row>
    <row r="10" spans="1:4" ht="16.5">
      <c r="A10" s="1837" t="s">
        <v>2856</v>
      </c>
      <c r="B10" s="1838" t="s">
        <v>2857</v>
      </c>
      <c r="C10" s="1839">
        <v>1.4999999999999999E-2</v>
      </c>
      <c r="D10" s="1840">
        <v>1.4999999999999999E-2</v>
      </c>
    </row>
    <row r="11" spans="1:4" ht="16.5">
      <c r="A11" s="1837" t="s">
        <v>2858</v>
      </c>
      <c r="B11" s="1838" t="s">
        <v>2859</v>
      </c>
      <c r="C11" s="1839">
        <v>0.01</v>
      </c>
      <c r="D11" s="1840">
        <v>0.01</v>
      </c>
    </row>
    <row r="12" spans="1:4" ht="16.5">
      <c r="A12" s="1837" t="s">
        <v>2860</v>
      </c>
      <c r="B12" s="1838" t="s">
        <v>2861</v>
      </c>
      <c r="C12" s="1839">
        <v>2E-3</v>
      </c>
      <c r="D12" s="1840">
        <v>2E-3</v>
      </c>
    </row>
    <row r="13" spans="1:4" ht="16.5">
      <c r="A13" s="1837" t="s">
        <v>2862</v>
      </c>
      <c r="B13" s="1838" t="s">
        <v>2863</v>
      </c>
      <c r="C13" s="1839">
        <v>6.0000000000000001E-3</v>
      </c>
      <c r="D13" s="1840">
        <v>6.0000000000000001E-3</v>
      </c>
    </row>
    <row r="14" spans="1:4" ht="16.5">
      <c r="A14" s="1837" t="s">
        <v>2864</v>
      </c>
      <c r="B14" s="1838" t="s">
        <v>2865</v>
      </c>
      <c r="C14" s="1839">
        <v>2.5000000000000001E-2</v>
      </c>
      <c r="D14" s="1840">
        <v>2.5000000000000001E-2</v>
      </c>
    </row>
    <row r="15" spans="1:4" ht="16.5">
      <c r="A15" s="1837" t="s">
        <v>2866</v>
      </c>
      <c r="B15" s="1838" t="s">
        <v>2867</v>
      </c>
      <c r="C15" s="1839">
        <v>0.03</v>
      </c>
      <c r="D15" s="1840">
        <v>0.03</v>
      </c>
    </row>
    <row r="16" spans="1:4" ht="16.5">
      <c r="A16" s="1837" t="s">
        <v>2868</v>
      </c>
      <c r="B16" s="1838" t="s">
        <v>2869</v>
      </c>
      <c r="C16" s="1839">
        <v>0.08</v>
      </c>
      <c r="D16" s="1840">
        <v>0.08</v>
      </c>
    </row>
    <row r="17" spans="1:4" ht="16.5">
      <c r="A17" s="1837" t="s">
        <v>2870</v>
      </c>
      <c r="B17" s="1838" t="s">
        <v>2871</v>
      </c>
      <c r="C17" s="1839">
        <v>0</v>
      </c>
      <c r="D17" s="1840">
        <v>0</v>
      </c>
    </row>
    <row r="18" spans="1:4" ht="16.5">
      <c r="A18" s="1841" t="s">
        <v>2872</v>
      </c>
      <c r="B18" s="1842" t="s">
        <v>37</v>
      </c>
      <c r="C18" s="1843">
        <v>0.36800000000000005</v>
      </c>
      <c r="D18" s="1844">
        <v>0.36800000000000005</v>
      </c>
    </row>
    <row r="19" spans="1:4" ht="16.5">
      <c r="A19" s="1845" t="s">
        <v>2873</v>
      </c>
      <c r="B19" s="1846"/>
      <c r="C19" s="1846"/>
      <c r="D19" s="1847"/>
    </row>
    <row r="20" spans="1:4" ht="16.5">
      <c r="A20" s="1837" t="s">
        <v>2874</v>
      </c>
      <c r="B20" s="1838" t="s">
        <v>2875</v>
      </c>
      <c r="C20" s="1839">
        <v>0.1777</v>
      </c>
      <c r="D20" s="1840" t="s">
        <v>2876</v>
      </c>
    </row>
    <row r="21" spans="1:4" ht="16.5">
      <c r="A21" s="1837" t="s">
        <v>2877</v>
      </c>
      <c r="B21" s="1838" t="s">
        <v>2878</v>
      </c>
      <c r="C21" s="1839">
        <v>3.6700000000000003E-2</v>
      </c>
      <c r="D21" s="1840" t="s">
        <v>2876</v>
      </c>
    </row>
    <row r="22" spans="1:4" ht="16.5">
      <c r="A22" s="1837" t="s">
        <v>2879</v>
      </c>
      <c r="B22" s="1838" t="s">
        <v>2880</v>
      </c>
      <c r="C22" s="1839">
        <v>8.6999999999999994E-3</v>
      </c>
      <c r="D22" s="1840">
        <v>6.6E-3</v>
      </c>
    </row>
    <row r="23" spans="1:4" ht="16.5">
      <c r="A23" s="1837" t="s">
        <v>2881</v>
      </c>
      <c r="B23" s="1838" t="s">
        <v>2882</v>
      </c>
      <c r="C23" s="1839">
        <v>0.11</v>
      </c>
      <c r="D23" s="1840">
        <v>8.3299999999999999E-2</v>
      </c>
    </row>
    <row r="24" spans="1:4" ht="16.5">
      <c r="A24" s="1837" t="s">
        <v>2883</v>
      </c>
      <c r="B24" s="1838" t="s">
        <v>2884</v>
      </c>
      <c r="C24" s="1839">
        <v>7.000000000000001E-4</v>
      </c>
      <c r="D24" s="1840">
        <v>5.9999999999999995E-4</v>
      </c>
    </row>
    <row r="25" spans="1:4" ht="16.5">
      <c r="A25" s="1837" t="s">
        <v>2885</v>
      </c>
      <c r="B25" s="1838" t="s">
        <v>2886</v>
      </c>
      <c r="C25" s="1839">
        <v>7.3000000000000001E-3</v>
      </c>
      <c r="D25" s="1840">
        <v>5.5999999999999999E-3</v>
      </c>
    </row>
    <row r="26" spans="1:4" ht="16.5">
      <c r="A26" s="1837" t="s">
        <v>2887</v>
      </c>
      <c r="B26" s="1838" t="s">
        <v>2888</v>
      </c>
      <c r="C26" s="1839">
        <v>1.17E-2</v>
      </c>
      <c r="D26" s="1840" t="s">
        <v>2876</v>
      </c>
    </row>
    <row r="27" spans="1:4" ht="16.5">
      <c r="A27" s="1837" t="s">
        <v>2889</v>
      </c>
      <c r="B27" s="1838" t="s">
        <v>2890</v>
      </c>
      <c r="C27" s="1839">
        <v>1.1000000000000001E-3</v>
      </c>
      <c r="D27" s="1840">
        <v>8.0000000000000004E-4</v>
      </c>
    </row>
    <row r="28" spans="1:4" ht="16.5">
      <c r="A28" s="1837" t="s">
        <v>2891</v>
      </c>
      <c r="B28" s="1838" t="s">
        <v>2892</v>
      </c>
      <c r="C28" s="1839">
        <v>0.12670000000000001</v>
      </c>
      <c r="D28" s="1840">
        <v>9.6000000000000002E-2</v>
      </c>
    </row>
    <row r="29" spans="1:4" ht="16.5">
      <c r="A29" s="1837" t="s">
        <v>2893</v>
      </c>
      <c r="B29" s="1838" t="s">
        <v>2894</v>
      </c>
      <c r="C29" s="1839">
        <v>2.9999999999999997E-4</v>
      </c>
      <c r="D29" s="1840">
        <v>2.0000000000000001E-4</v>
      </c>
    </row>
    <row r="30" spans="1:4" ht="16.5">
      <c r="A30" s="1841" t="s">
        <v>2895</v>
      </c>
      <c r="B30" s="1842" t="s">
        <v>37</v>
      </c>
      <c r="C30" s="1843">
        <v>0.48089999999999994</v>
      </c>
      <c r="D30" s="1844">
        <v>0.19309999999999999</v>
      </c>
    </row>
    <row r="31" spans="1:4" ht="16.5">
      <c r="A31" s="1845" t="s">
        <v>2896</v>
      </c>
      <c r="B31" s="1846"/>
      <c r="C31" s="1846"/>
      <c r="D31" s="1847"/>
    </row>
    <row r="32" spans="1:4" ht="16.5">
      <c r="A32" s="1837" t="s">
        <v>2897</v>
      </c>
      <c r="B32" s="1838" t="s">
        <v>2898</v>
      </c>
      <c r="C32" s="1839">
        <v>0.06</v>
      </c>
      <c r="D32" s="1840">
        <v>4.5499999999999999E-2</v>
      </c>
    </row>
    <row r="33" spans="1:4" ht="16.5">
      <c r="A33" s="1837" t="s">
        <v>2899</v>
      </c>
      <c r="B33" s="1838" t="s">
        <v>2900</v>
      </c>
      <c r="C33" s="1839">
        <v>1.4E-3</v>
      </c>
      <c r="D33" s="1840">
        <v>1.1000000000000001E-3</v>
      </c>
    </row>
    <row r="34" spans="1:4" ht="16.5">
      <c r="A34" s="1837" t="s">
        <v>2901</v>
      </c>
      <c r="B34" s="1838" t="s">
        <v>2902</v>
      </c>
      <c r="C34" s="1839">
        <v>1.6500000000000001E-2</v>
      </c>
      <c r="D34" s="1840">
        <v>1.2500000000000001E-2</v>
      </c>
    </row>
    <row r="35" spans="1:4" ht="16.5">
      <c r="A35" s="1837" t="s">
        <v>2903</v>
      </c>
      <c r="B35" s="1838" t="s">
        <v>2904</v>
      </c>
      <c r="C35" s="1839">
        <v>3.0300000000000001E-2</v>
      </c>
      <c r="D35" s="1840">
        <v>2.3E-2</v>
      </c>
    </row>
    <row r="36" spans="1:4" ht="16.5">
      <c r="A36" s="1837" t="s">
        <v>2905</v>
      </c>
      <c r="B36" s="1838" t="s">
        <v>2906</v>
      </c>
      <c r="C36" s="1839">
        <v>5.1000000000000004E-3</v>
      </c>
      <c r="D36" s="1840">
        <v>3.8E-3</v>
      </c>
    </row>
    <row r="37" spans="1:4" ht="16.5">
      <c r="A37" s="1841" t="s">
        <v>2907</v>
      </c>
      <c r="B37" s="1842" t="s">
        <v>37</v>
      </c>
      <c r="C37" s="1843">
        <v>0.11329999999999998</v>
      </c>
      <c r="D37" s="1844">
        <v>8.5900000000000004E-2</v>
      </c>
    </row>
    <row r="38" spans="1:4" ht="16.5">
      <c r="A38" s="1845" t="s">
        <v>2908</v>
      </c>
      <c r="B38" s="1846"/>
      <c r="C38" s="1846"/>
      <c r="D38" s="1847"/>
    </row>
    <row r="39" spans="1:4" ht="16.5">
      <c r="A39" s="1837" t="s">
        <v>2909</v>
      </c>
      <c r="B39" s="1838" t="s">
        <v>2910</v>
      </c>
      <c r="C39" s="1839">
        <v>0.17699999999999999</v>
      </c>
      <c r="D39" s="1840">
        <v>7.1099999999999997E-2</v>
      </c>
    </row>
    <row r="40" spans="1:4" ht="49.5">
      <c r="A40" s="1837" t="s">
        <v>2911</v>
      </c>
      <c r="B40" s="1838" t="s">
        <v>2912</v>
      </c>
      <c r="C40" s="1839">
        <v>5.3E-3</v>
      </c>
      <c r="D40" s="1840">
        <v>4.0000000000000001E-3</v>
      </c>
    </row>
    <row r="41" spans="1:4" ht="16.5">
      <c r="A41" s="1841" t="s">
        <v>2913</v>
      </c>
      <c r="B41" s="1842" t="s">
        <v>37</v>
      </c>
      <c r="C41" s="1843">
        <v>0.18229999999999999</v>
      </c>
      <c r="D41" s="1844">
        <v>7.51E-2</v>
      </c>
    </row>
    <row r="42" spans="1:4" ht="17.25" thickBot="1">
      <c r="A42" s="1848" t="s">
        <v>2914</v>
      </c>
      <c r="B42" s="1849"/>
      <c r="C42" s="1850">
        <v>1.1445000000000001</v>
      </c>
      <c r="D42" s="1851">
        <v>0.72209999999999996</v>
      </c>
    </row>
    <row r="44" spans="1:4">
      <c r="D44" s="1852" t="str">
        <f>'RESUMO SEM DESONERAÇÃO'!$E$41</f>
        <v>CUIABÁ-MT, 15 DE MAIO DE 2023.</v>
      </c>
    </row>
    <row r="45" spans="1:4">
      <c r="A45" s="1903" t="s">
        <v>2915</v>
      </c>
      <c r="B45" s="1903"/>
      <c r="C45" s="1903"/>
      <c r="D45" s="1903"/>
    </row>
    <row r="46" spans="1:4">
      <c r="A46" s="1903" t="str">
        <f>'RESUMO SEM DESONERAÇÃO'!$A$48:$E$48</f>
        <v>PAULO PAZETO MEDEIROS</v>
      </c>
      <c r="B46" s="1903"/>
      <c r="C46" s="1903"/>
      <c r="D46" s="1903"/>
    </row>
    <row r="47" spans="1:4">
      <c r="A47" s="1903" t="str">
        <f>'RESUMO SEM DESONERAÇÃO'!$A$49:$E$49</f>
        <v>DIRETOR/ENGENHEIRO CIVIL</v>
      </c>
      <c r="B47" s="1903"/>
      <c r="C47" s="1903"/>
      <c r="D47" s="1903"/>
    </row>
    <row r="48" spans="1:4">
      <c r="A48" s="1903" t="str">
        <f>'RESUMO SEM DESONERAÇÃO'!$A$50:$E$50</f>
        <v>CREA MT034442</v>
      </c>
      <c r="B48" s="1903"/>
      <c r="C48" s="1903"/>
      <c r="D48" s="1903"/>
    </row>
    <row r="49" spans="1:4">
      <c r="A49" s="1903" t="str">
        <f>'RESUMO SEM DESONERAÇÃO'!$A$51:$E$51</f>
        <v>CPF 037.578.081-50</v>
      </c>
      <c r="B49" s="1903"/>
      <c r="C49" s="1903"/>
      <c r="D49" s="1903"/>
    </row>
  </sheetData>
  <mergeCells count="14">
    <mergeCell ref="A49:D49"/>
    <mergeCell ref="A1:D1"/>
    <mergeCell ref="A2:D2"/>
    <mergeCell ref="A3:D3"/>
    <mergeCell ref="A4:C4"/>
    <mergeCell ref="A5:D5"/>
    <mergeCell ref="A6:A7"/>
    <mergeCell ref="B6:B7"/>
    <mergeCell ref="C6:D6"/>
    <mergeCell ref="A8:D8"/>
    <mergeCell ref="A45:D45"/>
    <mergeCell ref="A46:D46"/>
    <mergeCell ref="A47:D47"/>
    <mergeCell ref="A48:D48"/>
  </mergeCells>
  <conditionalFormatting sqref="A9:D17">
    <cfRule type="expression" dxfId="7" priority="7">
      <formula>EVEN(ROW())=ROW()</formula>
    </cfRule>
  </conditionalFormatting>
  <conditionalFormatting sqref="A20:D29">
    <cfRule type="expression" dxfId="6" priority="6">
      <formula>EVEN(ROW())=ROW()</formula>
    </cfRule>
  </conditionalFormatting>
  <conditionalFormatting sqref="A32:D36">
    <cfRule type="expression" dxfId="5" priority="5">
      <formula>EVEN(ROW())=ROW()</formula>
    </cfRule>
  </conditionalFormatting>
  <conditionalFormatting sqref="A39:D41">
    <cfRule type="expression" dxfId="4" priority="4">
      <formula>EVEN(ROW())=ROW()</formula>
    </cfRule>
  </conditionalFormatting>
  <conditionalFormatting sqref="A37:D37">
    <cfRule type="expression" dxfId="3" priority="3">
      <formula>EVEN(ROW())=ROW()</formula>
    </cfRule>
  </conditionalFormatting>
  <conditionalFormatting sqref="A30:D30">
    <cfRule type="expression" dxfId="2" priority="2">
      <formula>EVEN(ROW())=ROW()</formula>
    </cfRule>
  </conditionalFormatting>
  <conditionalFormatting sqref="A18:D18">
    <cfRule type="expression" dxfId="1" priority="1">
      <formula>EVEN(ROW())=ROW()</formula>
    </cfRule>
  </conditionalFormatting>
  <printOptions horizontalCentered="1"/>
  <pageMargins left="0.39370078740157483" right="0.39370078740157483" top="0.39370078740157483" bottom="0.39370078740157483" header="0.31496062992125984" footer="0.31496062992125984"/>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444"/>
  <sheetViews>
    <sheetView workbookViewId="0">
      <selection activeCell="G7" sqref="G7"/>
    </sheetView>
  </sheetViews>
  <sheetFormatPr defaultRowHeight="15"/>
  <cols>
    <col min="1" max="1" width="19.85546875" customWidth="1"/>
    <col min="2" max="2" width="22.42578125" customWidth="1"/>
    <col min="3" max="3" width="14.140625" customWidth="1"/>
    <col min="4" max="4" width="13.7109375" customWidth="1"/>
    <col min="5" max="6" width="13.140625" customWidth="1"/>
    <col min="7" max="7" width="15.85546875" customWidth="1"/>
    <col min="9" max="9" width="11.85546875" customWidth="1"/>
    <col min="10" max="10" width="12.28515625" customWidth="1"/>
    <col min="11" max="11" width="11.28515625" customWidth="1"/>
  </cols>
  <sheetData>
    <row r="1" spans="1:13">
      <c r="A1" s="2151" t="s">
        <v>130</v>
      </c>
      <c r="B1" s="2152"/>
      <c r="C1" s="2152"/>
      <c r="D1" s="2152"/>
      <c r="E1" s="2152"/>
      <c r="F1" s="2152"/>
      <c r="G1" s="2153"/>
      <c r="H1" s="657"/>
      <c r="I1" s="657"/>
      <c r="J1" s="657"/>
      <c r="K1" s="657"/>
      <c r="L1" s="657"/>
      <c r="M1" s="657"/>
    </row>
    <row r="2" spans="1:13">
      <c r="A2" s="2154" t="s">
        <v>294</v>
      </c>
      <c r="B2" s="2155"/>
      <c r="C2" s="2155"/>
      <c r="D2" s="2155"/>
      <c r="E2" s="2155"/>
      <c r="F2" s="2155"/>
      <c r="G2" s="2156"/>
      <c r="H2" s="657"/>
      <c r="I2" s="657"/>
      <c r="J2" s="657"/>
      <c r="K2" s="657"/>
      <c r="L2" s="657"/>
      <c r="M2" s="657"/>
    </row>
    <row r="3" spans="1:13">
      <c r="A3" s="2154" t="s">
        <v>279</v>
      </c>
      <c r="B3" s="2155"/>
      <c r="C3" s="2155"/>
      <c r="D3" s="2155"/>
      <c r="E3" s="2155"/>
      <c r="F3" s="2155"/>
      <c r="G3" s="2156"/>
      <c r="H3" s="657"/>
      <c r="I3" s="657"/>
      <c r="J3" s="657"/>
      <c r="K3" s="657"/>
      <c r="L3" s="657"/>
      <c r="M3" s="657"/>
    </row>
    <row r="4" spans="1:13">
      <c r="A4" s="658"/>
      <c r="B4" s="659"/>
      <c r="C4" s="659"/>
      <c r="D4" s="659"/>
      <c r="E4" s="659"/>
      <c r="F4" s="659"/>
      <c r="G4" s="660"/>
      <c r="H4" s="657"/>
      <c r="I4" s="657"/>
      <c r="J4" s="657"/>
      <c r="K4" s="657"/>
      <c r="L4" s="657"/>
      <c r="M4" s="657"/>
    </row>
    <row r="5" spans="1:13">
      <c r="A5" s="661" t="s">
        <v>295</v>
      </c>
      <c r="B5" s="2157" t="s">
        <v>636</v>
      </c>
      <c r="C5" s="2157"/>
      <c r="D5" s="2157"/>
      <c r="E5" s="2157"/>
      <c r="F5" s="2157"/>
      <c r="G5" s="662"/>
      <c r="H5" s="657"/>
      <c r="I5" s="657"/>
      <c r="J5" s="657"/>
      <c r="K5" s="657"/>
      <c r="L5" s="657"/>
      <c r="M5" s="657"/>
    </row>
    <row r="6" spans="1:13">
      <c r="A6" s="661" t="s">
        <v>296</v>
      </c>
      <c r="B6" s="2158" t="s">
        <v>637</v>
      </c>
      <c r="C6" s="2158"/>
      <c r="D6" s="2158"/>
      <c r="E6" s="2158"/>
      <c r="F6" s="663" t="s">
        <v>297</v>
      </c>
      <c r="G6" s="664"/>
      <c r="H6" s="657"/>
      <c r="I6" s="657"/>
      <c r="J6" s="657"/>
      <c r="K6" s="657"/>
      <c r="L6" s="657"/>
      <c r="M6" s="657"/>
    </row>
    <row r="7" spans="1:13">
      <c r="A7" s="665" t="s">
        <v>298</v>
      </c>
      <c r="B7" s="666" t="s">
        <v>638</v>
      </c>
      <c r="C7" s="666"/>
      <c r="D7" s="666"/>
      <c r="E7" s="666"/>
      <c r="F7" s="667" t="s">
        <v>299</v>
      </c>
      <c r="G7" s="668" t="s">
        <v>639</v>
      </c>
      <c r="H7" s="657"/>
      <c r="I7" s="657"/>
      <c r="J7" s="657"/>
      <c r="K7" s="657"/>
      <c r="L7" s="657"/>
      <c r="M7" s="657"/>
    </row>
    <row r="8" spans="1:13" ht="15.75" thickBot="1">
      <c r="A8" s="962" t="s">
        <v>300</v>
      </c>
      <c r="B8" s="903" t="s">
        <v>628</v>
      </c>
      <c r="C8" s="903"/>
      <c r="D8" s="903"/>
      <c r="E8" s="903"/>
      <c r="F8" s="963"/>
      <c r="G8" s="964"/>
      <c r="H8" s="657"/>
      <c r="I8" s="657"/>
      <c r="J8" s="657"/>
      <c r="K8" s="657"/>
      <c r="L8" s="657"/>
      <c r="M8" s="657"/>
    </row>
    <row r="9" spans="1:13" ht="15.75" thickBot="1">
      <c r="A9" s="2159" t="s">
        <v>640</v>
      </c>
      <c r="B9" s="2160"/>
      <c r="C9" s="2160"/>
      <c r="D9" s="2160"/>
      <c r="E9" s="2160"/>
      <c r="F9" s="2160"/>
      <c r="G9" s="2161"/>
      <c r="H9" s="657"/>
      <c r="I9" s="657"/>
      <c r="J9" s="657"/>
      <c r="K9" s="657"/>
      <c r="L9" s="657"/>
      <c r="M9" s="657"/>
    </row>
    <row r="10" spans="1:13" ht="15.75" thickBot="1">
      <c r="A10" s="671" t="s">
        <v>277</v>
      </c>
      <c r="B10" s="2180" t="s">
        <v>301</v>
      </c>
      <c r="C10" s="2181"/>
      <c r="D10" s="2181"/>
      <c r="E10" s="2181"/>
      <c r="F10" s="2181"/>
      <c r="G10" s="2182"/>
      <c r="H10" s="657"/>
      <c r="I10" s="672" t="s">
        <v>457</v>
      </c>
      <c r="J10" s="657"/>
      <c r="K10" s="657"/>
      <c r="L10" s="657"/>
      <c r="M10" s="657"/>
    </row>
    <row r="11" spans="1:13" ht="15.75" thickBot="1">
      <c r="A11" s="673"/>
      <c r="B11" s="674"/>
      <c r="C11" s="674"/>
      <c r="D11" s="674"/>
      <c r="E11" s="674"/>
      <c r="F11" s="674"/>
      <c r="G11" s="675"/>
      <c r="H11" s="657"/>
      <c r="I11" s="657"/>
      <c r="J11" s="657"/>
      <c r="K11" s="657"/>
      <c r="L11" s="657"/>
      <c r="M11" s="657"/>
    </row>
    <row r="12" spans="1:13" ht="15.75" thickBot="1">
      <c r="A12" s="671" t="s">
        <v>14</v>
      </c>
      <c r="B12" s="2180" t="s">
        <v>120</v>
      </c>
      <c r="C12" s="2181"/>
      <c r="D12" s="2181"/>
      <c r="E12" s="2181"/>
      <c r="F12" s="2181"/>
      <c r="G12" s="2182"/>
      <c r="H12" s="657"/>
      <c r="I12" s="672" t="s">
        <v>457</v>
      </c>
      <c r="J12" s="657"/>
      <c r="K12" s="657"/>
      <c r="L12" s="657"/>
      <c r="M12" s="657"/>
    </row>
    <row r="13" spans="1:13" ht="15.75" thickBot="1">
      <c r="A13" s="676"/>
      <c r="B13" s="677"/>
      <c r="C13" s="677"/>
      <c r="D13" s="677"/>
      <c r="E13" s="677"/>
      <c r="F13" s="677"/>
      <c r="G13" s="678"/>
      <c r="H13" s="657"/>
      <c r="I13" s="657"/>
      <c r="J13" s="657"/>
      <c r="K13" s="657"/>
      <c r="L13" s="657"/>
      <c r="M13" s="657"/>
    </row>
    <row r="14" spans="1:13" ht="15.75" thickBot="1">
      <c r="A14" s="671" t="s">
        <v>184</v>
      </c>
      <c r="B14" s="2180" t="s">
        <v>302</v>
      </c>
      <c r="C14" s="2181"/>
      <c r="D14" s="2181"/>
      <c r="E14" s="2181"/>
      <c r="F14" s="2181"/>
      <c r="G14" s="2182"/>
      <c r="H14" s="657"/>
      <c r="I14" s="657"/>
      <c r="J14" s="657"/>
      <c r="K14" s="657"/>
      <c r="L14" s="657"/>
      <c r="M14" s="657"/>
    </row>
    <row r="15" spans="1:13">
      <c r="A15" s="2213" t="s">
        <v>303</v>
      </c>
      <c r="B15" s="2214"/>
      <c r="C15" s="2214"/>
      <c r="D15" s="2214"/>
      <c r="E15" s="2214"/>
      <c r="F15" s="2214"/>
      <c r="G15" s="2215"/>
      <c r="H15" s="657"/>
      <c r="I15" s="657"/>
      <c r="J15" s="657"/>
      <c r="K15" s="657"/>
      <c r="L15" s="657"/>
      <c r="M15" s="657"/>
    </row>
    <row r="16" spans="1:13">
      <c r="A16" s="2216" t="s">
        <v>304</v>
      </c>
      <c r="B16" s="2217"/>
      <c r="C16" s="2217"/>
      <c r="D16" s="2217"/>
      <c r="E16" s="2217"/>
      <c r="F16" s="2217"/>
      <c r="G16" s="2218"/>
      <c r="H16" s="657"/>
      <c r="I16" s="657"/>
      <c r="J16" s="657"/>
      <c r="K16" s="657"/>
      <c r="L16" s="657"/>
      <c r="M16" s="657"/>
    </row>
    <row r="17" spans="1:13">
      <c r="A17" s="2219"/>
      <c r="B17" s="2220"/>
      <c r="C17" s="679" t="s">
        <v>305</v>
      </c>
      <c r="D17" s="2221" t="s">
        <v>306</v>
      </c>
      <c r="E17" s="2221"/>
      <c r="F17" s="2221"/>
      <c r="G17" s="2222"/>
      <c r="H17" s="657"/>
      <c r="I17" s="657"/>
      <c r="J17" s="657"/>
      <c r="K17" s="657"/>
      <c r="L17" s="657"/>
      <c r="M17" s="657"/>
    </row>
    <row r="18" spans="1:13" ht="27.75" customHeight="1">
      <c r="A18" s="2219"/>
      <c r="B18" s="2220"/>
      <c r="C18" s="680">
        <f>2.5*5</f>
        <v>12.5</v>
      </c>
      <c r="D18" s="2223" t="s">
        <v>641</v>
      </c>
      <c r="E18" s="2223"/>
      <c r="F18" s="2223"/>
      <c r="G18" s="2224"/>
      <c r="H18" s="657"/>
      <c r="I18" s="657"/>
      <c r="J18" s="657"/>
      <c r="K18" s="657"/>
      <c r="L18" s="657"/>
      <c r="M18" s="657"/>
    </row>
    <row r="19" spans="1:13" ht="15.75" thickBot="1">
      <c r="A19" s="2175" t="s">
        <v>307</v>
      </c>
      <c r="B19" s="2176"/>
      <c r="C19" s="681">
        <f>SUM(C18:C18)</f>
        <v>12.5</v>
      </c>
      <c r="D19" s="2177"/>
      <c r="E19" s="2178"/>
      <c r="F19" s="2178"/>
      <c r="G19" s="2179"/>
      <c r="H19" s="657"/>
      <c r="I19" s="657"/>
      <c r="J19" s="657"/>
      <c r="K19" s="657"/>
      <c r="L19" s="657"/>
      <c r="M19" s="657"/>
    </row>
    <row r="20" spans="1:13" ht="15.75" thickBot="1">
      <c r="A20" s="676"/>
      <c r="B20" s="682"/>
      <c r="C20" s="683"/>
      <c r="D20" s="684"/>
      <c r="E20" s="684"/>
      <c r="F20" s="684"/>
      <c r="G20" s="685"/>
      <c r="H20" s="657"/>
      <c r="I20" s="657"/>
      <c r="J20" s="657"/>
      <c r="K20" s="657"/>
      <c r="L20" s="657"/>
      <c r="M20" s="657"/>
    </row>
    <row r="21" spans="1:13" ht="15.75" thickBot="1">
      <c r="A21" s="671" t="s">
        <v>185</v>
      </c>
      <c r="B21" s="2180" t="s">
        <v>642</v>
      </c>
      <c r="C21" s="2181"/>
      <c r="D21" s="2181"/>
      <c r="E21" s="2181"/>
      <c r="F21" s="2181"/>
      <c r="G21" s="2182"/>
      <c r="H21" s="657"/>
      <c r="I21" s="672" t="s">
        <v>457</v>
      </c>
      <c r="J21" s="657"/>
      <c r="K21" s="657"/>
      <c r="L21" s="657"/>
      <c r="M21" s="657"/>
    </row>
    <row r="22" spans="1:13">
      <c r="A22" s="2183" t="s">
        <v>303</v>
      </c>
      <c r="B22" s="2184"/>
      <c r="C22" s="2184"/>
      <c r="D22" s="2184"/>
      <c r="E22" s="2184"/>
      <c r="F22" s="2184"/>
      <c r="G22" s="2185"/>
      <c r="H22" s="657"/>
      <c r="I22" s="657"/>
      <c r="J22" s="657"/>
      <c r="K22" s="657"/>
      <c r="L22" s="657"/>
      <c r="M22" s="657"/>
    </row>
    <row r="23" spans="1:13">
      <c r="A23" s="2186" t="s">
        <v>643</v>
      </c>
      <c r="B23" s="2187"/>
      <c r="C23" s="2187"/>
      <c r="D23" s="2187"/>
      <c r="E23" s="2187"/>
      <c r="F23" s="2187"/>
      <c r="G23" s="2188"/>
      <c r="H23" s="657"/>
      <c r="I23" s="657"/>
      <c r="J23" s="657"/>
      <c r="K23" s="657"/>
      <c r="L23" s="657"/>
      <c r="M23" s="657"/>
    </row>
    <row r="24" spans="1:13">
      <c r="A24" s="686" t="s">
        <v>322</v>
      </c>
      <c r="B24" s="687" t="s">
        <v>644</v>
      </c>
      <c r="C24" s="688" t="s">
        <v>362</v>
      </c>
      <c r="D24" s="687" t="s">
        <v>310</v>
      </c>
      <c r="E24" s="2189" t="s">
        <v>306</v>
      </c>
      <c r="F24" s="2190"/>
      <c r="G24" s="2191"/>
      <c r="H24" s="657"/>
      <c r="I24" s="657"/>
      <c r="J24" s="657"/>
      <c r="K24" s="657"/>
      <c r="L24" s="657"/>
      <c r="M24" s="657"/>
    </row>
    <row r="25" spans="1:13" ht="24">
      <c r="A25" s="689" t="s">
        <v>645</v>
      </c>
      <c r="B25" s="690">
        <f>25.29+44.8+73.76+38.45</f>
        <v>182.3</v>
      </c>
      <c r="C25" s="691">
        <v>2</v>
      </c>
      <c r="D25" s="690">
        <f>B25*C25</f>
        <v>364.6</v>
      </c>
      <c r="E25" s="2228" t="s">
        <v>646</v>
      </c>
      <c r="F25" s="2228"/>
      <c r="G25" s="2229"/>
      <c r="H25" s="657"/>
      <c r="I25" s="657"/>
      <c r="J25" s="657"/>
      <c r="K25" s="657"/>
      <c r="L25" s="657"/>
      <c r="M25" s="657"/>
    </row>
    <row r="26" spans="1:13" ht="15.75" thickBot="1">
      <c r="A26" s="2230" t="s">
        <v>307</v>
      </c>
      <c r="B26" s="2231"/>
      <c r="C26" s="2232"/>
      <c r="D26" s="692">
        <f>D25</f>
        <v>364.6</v>
      </c>
      <c r="E26" s="692"/>
      <c r="F26" s="692"/>
      <c r="G26" s="693"/>
      <c r="H26" s="657"/>
      <c r="I26" s="657"/>
      <c r="J26" s="657"/>
      <c r="K26" s="657"/>
      <c r="L26" s="657"/>
      <c r="M26" s="657"/>
    </row>
    <row r="27" spans="1:13" ht="15.75" thickBot="1">
      <c r="A27" s="694"/>
      <c r="B27" s="695"/>
      <c r="C27" s="695"/>
      <c r="D27" s="696"/>
      <c r="E27" s="696"/>
      <c r="F27" s="696"/>
      <c r="G27" s="697"/>
      <c r="H27" s="657"/>
      <c r="I27" s="657"/>
      <c r="J27" s="657"/>
      <c r="K27" s="657"/>
      <c r="L27" s="657"/>
      <c r="M27" s="657"/>
    </row>
    <row r="28" spans="1:13" ht="29.25" customHeight="1" thickBot="1">
      <c r="A28" s="698" t="s">
        <v>186</v>
      </c>
      <c r="B28" s="2233" t="s">
        <v>647</v>
      </c>
      <c r="C28" s="2234"/>
      <c r="D28" s="2234"/>
      <c r="E28" s="2234"/>
      <c r="F28" s="2234"/>
      <c r="G28" s="2235"/>
      <c r="H28" s="657"/>
      <c r="I28" s="672" t="s">
        <v>457</v>
      </c>
      <c r="J28" s="657"/>
      <c r="K28" s="657"/>
      <c r="L28" s="657"/>
      <c r="M28" s="657"/>
    </row>
    <row r="29" spans="1:13">
      <c r="A29" s="2192" t="s">
        <v>303</v>
      </c>
      <c r="B29" s="2193"/>
      <c r="C29" s="2193"/>
      <c r="D29" s="2193"/>
      <c r="E29" s="2193"/>
      <c r="F29" s="2193"/>
      <c r="G29" s="2194"/>
      <c r="H29" s="657"/>
      <c r="I29" s="657"/>
      <c r="J29" s="657"/>
      <c r="K29" s="657"/>
      <c r="L29" s="657"/>
      <c r="M29" s="657"/>
    </row>
    <row r="30" spans="1:13">
      <c r="A30" s="2236" t="s">
        <v>643</v>
      </c>
      <c r="B30" s="2237"/>
      <c r="C30" s="2237"/>
      <c r="D30" s="2237"/>
      <c r="E30" s="2237"/>
      <c r="F30" s="2237"/>
      <c r="G30" s="2238"/>
      <c r="H30" s="657"/>
      <c r="I30" s="657"/>
      <c r="J30" s="657"/>
      <c r="K30" s="657"/>
      <c r="L30" s="657"/>
      <c r="M30" s="657"/>
    </row>
    <row r="31" spans="1:13">
      <c r="A31" s="699" t="s">
        <v>308</v>
      </c>
      <c r="B31" s="2239" t="s">
        <v>309</v>
      </c>
      <c r="C31" s="2240"/>
      <c r="D31" s="700" t="s">
        <v>310</v>
      </c>
      <c r="E31" s="2239" t="s">
        <v>306</v>
      </c>
      <c r="F31" s="2226"/>
      <c r="G31" s="2227"/>
      <c r="H31" s="657"/>
      <c r="I31" s="657"/>
      <c r="J31" s="657"/>
      <c r="K31" s="657"/>
      <c r="L31" s="657"/>
      <c r="M31" s="657"/>
    </row>
    <row r="32" spans="1:13">
      <c r="A32" s="701" t="s">
        <v>648</v>
      </c>
      <c r="B32" s="2162" t="s">
        <v>649</v>
      </c>
      <c r="C32" s="2163"/>
      <c r="D32" s="702">
        <f>4.25*3.2</f>
        <v>13.600000000000001</v>
      </c>
      <c r="E32" s="2164" t="s">
        <v>311</v>
      </c>
      <c r="F32" s="2165"/>
      <c r="G32" s="2166"/>
      <c r="H32" s="703"/>
      <c r="I32" s="657"/>
      <c r="J32" s="657"/>
      <c r="K32" s="657"/>
      <c r="L32" s="657"/>
      <c r="M32" s="657"/>
    </row>
    <row r="33" spans="1:13">
      <c r="A33" s="704" t="s">
        <v>650</v>
      </c>
      <c r="B33" s="2173" t="s">
        <v>651</v>
      </c>
      <c r="C33" s="2174"/>
      <c r="D33" s="705">
        <f>3*3</f>
        <v>9</v>
      </c>
      <c r="E33" s="2167"/>
      <c r="F33" s="2168"/>
      <c r="G33" s="2169"/>
      <c r="H33" s="703"/>
      <c r="I33" s="657"/>
      <c r="J33" s="657"/>
      <c r="K33" s="657"/>
      <c r="L33" s="657"/>
      <c r="M33" s="657"/>
    </row>
    <row r="34" spans="1:13">
      <c r="A34" s="704" t="s">
        <v>652</v>
      </c>
      <c r="B34" s="2173" t="s">
        <v>653</v>
      </c>
      <c r="C34" s="2174"/>
      <c r="D34" s="705">
        <f>(4.25*5.5)</f>
        <v>23.375</v>
      </c>
      <c r="E34" s="2167"/>
      <c r="F34" s="2168"/>
      <c r="G34" s="2169"/>
      <c r="H34" s="703"/>
      <c r="I34" s="657"/>
      <c r="J34" s="657"/>
      <c r="K34" s="657"/>
      <c r="L34" s="657"/>
      <c r="M34" s="657"/>
    </row>
    <row r="35" spans="1:13">
      <c r="A35" s="704" t="s">
        <v>654</v>
      </c>
      <c r="B35" s="2173" t="s">
        <v>312</v>
      </c>
      <c r="C35" s="2174"/>
      <c r="D35" s="705">
        <f>(4.25*5.5)</f>
        <v>23.375</v>
      </c>
      <c r="E35" s="2170"/>
      <c r="F35" s="2171"/>
      <c r="G35" s="2172"/>
      <c r="H35" s="703"/>
      <c r="I35" s="657"/>
      <c r="J35" s="657"/>
      <c r="K35" s="657"/>
      <c r="L35" s="657"/>
      <c r="M35" s="657"/>
    </row>
    <row r="36" spans="1:13" ht="15.75" thickBot="1">
      <c r="A36" s="706"/>
      <c r="B36" s="707"/>
      <c r="C36" s="708" t="s">
        <v>307</v>
      </c>
      <c r="D36" s="709">
        <f>SUM(D32:D35)</f>
        <v>69.349999999999994</v>
      </c>
      <c r="E36" s="710"/>
      <c r="F36" s="711"/>
      <c r="G36" s="712"/>
      <c r="H36" s="657"/>
      <c r="I36" s="657"/>
      <c r="J36" s="657"/>
      <c r="K36" s="657"/>
      <c r="L36" s="657"/>
      <c r="M36" s="657"/>
    </row>
    <row r="37" spans="1:13" ht="15.75" thickBot="1">
      <c r="A37" s="713"/>
      <c r="B37" s="714"/>
      <c r="C37" s="715"/>
      <c r="D37" s="716"/>
      <c r="E37" s="716"/>
      <c r="F37" s="716"/>
      <c r="G37" s="717"/>
      <c r="H37" s="657"/>
      <c r="I37" s="657"/>
      <c r="J37" s="657"/>
      <c r="K37" s="657"/>
      <c r="L37" s="657"/>
      <c r="M37" s="657"/>
    </row>
    <row r="38" spans="1:13" ht="15.75" thickBot="1">
      <c r="A38" s="671" t="s">
        <v>187</v>
      </c>
      <c r="B38" s="2180" t="s">
        <v>313</v>
      </c>
      <c r="C38" s="2181"/>
      <c r="D38" s="2181"/>
      <c r="E38" s="2181"/>
      <c r="F38" s="2181"/>
      <c r="G38" s="2182"/>
      <c r="H38" s="657"/>
      <c r="I38" s="672" t="s">
        <v>457</v>
      </c>
      <c r="J38" s="657"/>
      <c r="K38" s="657"/>
      <c r="L38" s="657"/>
      <c r="M38" s="657"/>
    </row>
    <row r="39" spans="1:13">
      <c r="A39" s="2192" t="s">
        <v>303</v>
      </c>
      <c r="B39" s="2193"/>
      <c r="C39" s="2193"/>
      <c r="D39" s="2193"/>
      <c r="E39" s="2193"/>
      <c r="F39" s="2193"/>
      <c r="G39" s="2194"/>
      <c r="H39" s="657"/>
      <c r="I39" s="657"/>
      <c r="J39" s="657"/>
      <c r="K39" s="657"/>
      <c r="L39" s="657"/>
      <c r="M39" s="657"/>
    </row>
    <row r="40" spans="1:13" ht="15.75" thickBot="1">
      <c r="A40" s="2209" t="s">
        <v>314</v>
      </c>
      <c r="B40" s="2210"/>
      <c r="C40" s="2210"/>
      <c r="D40" s="2210"/>
      <c r="E40" s="2210"/>
      <c r="F40" s="2210"/>
      <c r="G40" s="2211"/>
      <c r="H40" s="657"/>
      <c r="I40" s="657"/>
      <c r="J40" s="657"/>
      <c r="K40" s="657"/>
      <c r="L40" s="657"/>
      <c r="M40" s="657"/>
    </row>
    <row r="41" spans="1:13" ht="15.75" thickBot="1">
      <c r="A41" s="713"/>
      <c r="B41" s="714"/>
      <c r="C41" s="715"/>
      <c r="D41" s="716"/>
      <c r="E41" s="716"/>
      <c r="F41" s="716"/>
      <c r="G41" s="717"/>
      <c r="H41" s="657"/>
      <c r="I41" s="657"/>
      <c r="J41" s="657"/>
      <c r="K41" s="657"/>
      <c r="L41" s="657"/>
      <c r="M41" s="657"/>
    </row>
    <row r="42" spans="1:13" ht="15.75" thickBot="1">
      <c r="A42" s="671" t="s">
        <v>188</v>
      </c>
      <c r="B42" s="2180" t="s">
        <v>315</v>
      </c>
      <c r="C42" s="2181"/>
      <c r="D42" s="2181"/>
      <c r="E42" s="2181"/>
      <c r="F42" s="2181"/>
      <c r="G42" s="2182"/>
      <c r="H42" s="657"/>
      <c r="I42" s="672" t="s">
        <v>457</v>
      </c>
      <c r="J42" s="657"/>
      <c r="K42" s="657"/>
      <c r="L42" s="657"/>
      <c r="M42" s="657"/>
    </row>
    <row r="43" spans="1:13">
      <c r="A43" s="2192" t="s">
        <v>303</v>
      </c>
      <c r="B43" s="2193"/>
      <c r="C43" s="2193"/>
      <c r="D43" s="2193"/>
      <c r="E43" s="2193"/>
      <c r="F43" s="2193"/>
      <c r="G43" s="2194"/>
      <c r="H43" s="657"/>
      <c r="I43" s="657"/>
      <c r="J43" s="657"/>
      <c r="K43" s="657"/>
      <c r="L43" s="657"/>
      <c r="M43" s="657"/>
    </row>
    <row r="44" spans="1:13" ht="15.75" thickBot="1">
      <c r="A44" s="2209" t="s">
        <v>314</v>
      </c>
      <c r="B44" s="2210"/>
      <c r="C44" s="2210"/>
      <c r="D44" s="2210"/>
      <c r="E44" s="2210"/>
      <c r="F44" s="2210"/>
      <c r="G44" s="2211"/>
      <c r="H44" s="657"/>
      <c r="I44" s="657"/>
      <c r="J44" s="657"/>
      <c r="K44" s="657"/>
      <c r="L44" s="657"/>
      <c r="M44" s="657"/>
    </row>
    <row r="45" spans="1:13" ht="15.75" thickBot="1">
      <c r="A45" s="713"/>
      <c r="B45" s="714"/>
      <c r="C45" s="715"/>
      <c r="D45" s="716"/>
      <c r="E45" s="716"/>
      <c r="F45" s="716"/>
      <c r="G45" s="717"/>
      <c r="H45" s="657"/>
      <c r="I45" s="657"/>
      <c r="J45" s="657"/>
      <c r="K45" s="657"/>
      <c r="L45" s="657"/>
      <c r="M45" s="657"/>
    </row>
    <row r="46" spans="1:13" ht="15.75" thickBot="1">
      <c r="A46" s="671" t="s">
        <v>189</v>
      </c>
      <c r="B46" s="2180" t="s">
        <v>207</v>
      </c>
      <c r="C46" s="2181"/>
      <c r="D46" s="2181"/>
      <c r="E46" s="2181"/>
      <c r="F46" s="2181"/>
      <c r="G46" s="2182"/>
      <c r="H46" s="657"/>
      <c r="I46" s="657"/>
      <c r="J46" s="657"/>
      <c r="K46" s="657"/>
      <c r="L46" s="657"/>
      <c r="M46" s="657"/>
    </row>
    <row r="47" spans="1:13">
      <c r="A47" s="2248" t="s">
        <v>303</v>
      </c>
      <c r="B47" s="2249"/>
      <c r="C47" s="2249"/>
      <c r="D47" s="2249"/>
      <c r="E47" s="2249"/>
      <c r="F47" s="2249"/>
      <c r="G47" s="2250"/>
      <c r="H47" s="657"/>
      <c r="I47" s="657"/>
      <c r="J47" s="657"/>
      <c r="K47" s="657"/>
      <c r="L47" s="657"/>
      <c r="M47" s="657"/>
    </row>
    <row r="48" spans="1:13">
      <c r="A48" s="2236" t="s">
        <v>643</v>
      </c>
      <c r="B48" s="2237"/>
      <c r="C48" s="2237"/>
      <c r="D48" s="2237"/>
      <c r="E48" s="2237"/>
      <c r="F48" s="2237"/>
      <c r="G48" s="2238"/>
      <c r="H48" s="657"/>
      <c r="I48" s="657"/>
      <c r="J48" s="657">
        <f>D50*0.2</f>
        <v>299.83800000000002</v>
      </c>
      <c r="K48" s="657"/>
      <c r="L48" s="657"/>
      <c r="M48" s="657"/>
    </row>
    <row r="49" spans="1:13">
      <c r="A49" s="699" t="s">
        <v>322</v>
      </c>
      <c r="B49" s="2239" t="s">
        <v>644</v>
      </c>
      <c r="C49" s="2240"/>
      <c r="D49" s="700" t="s">
        <v>310</v>
      </c>
      <c r="E49" s="2239" t="s">
        <v>306</v>
      </c>
      <c r="F49" s="2226"/>
      <c r="G49" s="2227"/>
      <c r="H49" s="657"/>
      <c r="I49" s="657"/>
      <c r="J49" s="657"/>
      <c r="K49" s="657"/>
      <c r="L49" s="657"/>
      <c r="M49" s="657"/>
    </row>
    <row r="50" spans="1:13">
      <c r="A50" s="718" t="s">
        <v>645</v>
      </c>
      <c r="B50" s="2266">
        <f>25.29+44.8+73.76+38.45</f>
        <v>182.3</v>
      </c>
      <c r="C50" s="2267"/>
      <c r="D50" s="690">
        <v>1499.19</v>
      </c>
      <c r="E50" s="2228" t="s">
        <v>316</v>
      </c>
      <c r="F50" s="2228"/>
      <c r="G50" s="2229"/>
      <c r="H50" s="657"/>
      <c r="I50" s="2212" t="s">
        <v>2090</v>
      </c>
      <c r="J50" s="2212"/>
      <c r="K50" s="657"/>
      <c r="L50" s="657"/>
      <c r="M50" s="657"/>
    </row>
    <row r="51" spans="1:13" ht="15.75" thickBot="1">
      <c r="A51" s="719"/>
      <c r="B51" s="720"/>
      <c r="C51" s="720"/>
      <c r="D51" s="720"/>
      <c r="E51" s="720"/>
      <c r="F51" s="720"/>
      <c r="G51" s="721"/>
      <c r="H51" s="657"/>
      <c r="I51" s="657"/>
      <c r="J51" s="657"/>
      <c r="K51" s="657"/>
      <c r="L51" s="657"/>
      <c r="M51" s="657"/>
    </row>
    <row r="52" spans="1:13" ht="15.75" thickBot="1">
      <c r="A52" s="671" t="s">
        <v>190</v>
      </c>
      <c r="B52" s="2180" t="s">
        <v>317</v>
      </c>
      <c r="C52" s="2181"/>
      <c r="D52" s="2181"/>
      <c r="E52" s="2181"/>
      <c r="F52" s="2181"/>
      <c r="G52" s="2182"/>
      <c r="H52" s="657"/>
      <c r="I52" s="672" t="s">
        <v>457</v>
      </c>
      <c r="J52" s="657"/>
      <c r="K52" s="657"/>
      <c r="L52" s="657"/>
      <c r="M52" s="657"/>
    </row>
    <row r="53" spans="1:13">
      <c r="A53" s="2192" t="s">
        <v>303</v>
      </c>
      <c r="B53" s="2193"/>
      <c r="C53" s="2193"/>
      <c r="D53" s="2193"/>
      <c r="E53" s="2193"/>
      <c r="F53" s="2193"/>
      <c r="G53" s="2194"/>
      <c r="H53" s="657"/>
      <c r="I53" s="2208" t="s">
        <v>1466</v>
      </c>
      <c r="J53" s="2208"/>
      <c r="K53" s="2208"/>
      <c r="L53" s="2208"/>
      <c r="M53" s="2208"/>
    </row>
    <row r="54" spans="1:13" ht="15.75" thickBot="1">
      <c r="A54" s="2209" t="s">
        <v>318</v>
      </c>
      <c r="B54" s="2210"/>
      <c r="C54" s="2210"/>
      <c r="D54" s="2210"/>
      <c r="E54" s="2210"/>
      <c r="F54" s="2210"/>
      <c r="G54" s="2211"/>
      <c r="H54" s="657"/>
      <c r="I54" s="2208"/>
      <c r="J54" s="2208"/>
      <c r="K54" s="2208"/>
      <c r="L54" s="2208"/>
      <c r="M54" s="2208"/>
    </row>
    <row r="55" spans="1:13" ht="15.75" thickBot="1">
      <c r="A55" s="722"/>
      <c r="B55" s="669"/>
      <c r="C55" s="715"/>
      <c r="D55" s="716"/>
      <c r="E55" s="716"/>
      <c r="F55" s="716"/>
      <c r="G55" s="717"/>
      <c r="H55" s="657"/>
      <c r="I55" s="657"/>
      <c r="J55" s="657"/>
      <c r="K55" s="657"/>
      <c r="L55" s="657"/>
      <c r="M55" s="657"/>
    </row>
    <row r="56" spans="1:13" ht="15.75" thickBot="1">
      <c r="A56" s="671" t="s">
        <v>191</v>
      </c>
      <c r="B56" s="2180" t="s">
        <v>319</v>
      </c>
      <c r="C56" s="2181"/>
      <c r="D56" s="2181"/>
      <c r="E56" s="2181"/>
      <c r="F56" s="2181"/>
      <c r="G56" s="2182"/>
      <c r="H56" s="657"/>
      <c r="I56" s="672" t="s">
        <v>457</v>
      </c>
      <c r="J56" s="657"/>
      <c r="K56" s="657"/>
      <c r="L56" s="657"/>
      <c r="M56" s="657"/>
    </row>
    <row r="57" spans="1:13">
      <c r="A57" s="2192" t="s">
        <v>303</v>
      </c>
      <c r="B57" s="2193"/>
      <c r="C57" s="2193"/>
      <c r="D57" s="2193"/>
      <c r="E57" s="2193"/>
      <c r="F57" s="2193"/>
      <c r="G57" s="2194"/>
      <c r="H57" s="657"/>
      <c r="I57" s="657"/>
      <c r="J57" s="657"/>
      <c r="K57" s="657"/>
      <c r="L57" s="657"/>
      <c r="M57" s="657"/>
    </row>
    <row r="58" spans="1:13">
      <c r="A58" s="2241" t="s">
        <v>320</v>
      </c>
      <c r="B58" s="2228"/>
      <c r="C58" s="2228"/>
      <c r="D58" s="2228"/>
      <c r="E58" s="2228"/>
      <c r="F58" s="2228"/>
      <c r="G58" s="2229"/>
      <c r="H58" s="657"/>
      <c r="I58" s="657"/>
      <c r="J58" s="657"/>
      <c r="K58" s="657"/>
      <c r="L58" s="657"/>
      <c r="M58" s="657"/>
    </row>
    <row r="59" spans="1:13">
      <c r="A59" s="722"/>
      <c r="B59" s="669"/>
      <c r="C59" s="715"/>
      <c r="D59" s="716"/>
      <c r="E59" s="716"/>
      <c r="F59" s="716"/>
      <c r="G59" s="717"/>
      <c r="H59" s="657"/>
      <c r="I59" s="657"/>
      <c r="J59" s="657"/>
      <c r="K59" s="657"/>
      <c r="L59" s="657"/>
      <c r="M59" s="657"/>
    </row>
    <row r="60" spans="1:13">
      <c r="A60" s="722"/>
      <c r="B60" s="669"/>
      <c r="C60" s="715"/>
      <c r="D60" s="716"/>
      <c r="E60" s="716"/>
      <c r="F60" s="716"/>
      <c r="G60" s="717"/>
      <c r="H60" s="657"/>
      <c r="I60" s="657"/>
      <c r="J60" s="657"/>
      <c r="K60" s="657"/>
      <c r="L60" s="657"/>
      <c r="M60" s="657"/>
    </row>
    <row r="61" spans="1:13">
      <c r="A61" s="722"/>
      <c r="B61" s="669"/>
      <c r="C61" s="715"/>
      <c r="D61" s="716"/>
      <c r="E61" s="716"/>
      <c r="F61" s="716"/>
      <c r="G61" s="717"/>
      <c r="H61" s="657"/>
      <c r="I61" s="657"/>
      <c r="J61" s="657"/>
      <c r="K61" s="657"/>
      <c r="L61" s="657"/>
      <c r="M61" s="657"/>
    </row>
    <row r="62" spans="1:13">
      <c r="A62" s="722"/>
      <c r="B62" s="669"/>
      <c r="C62" s="715"/>
      <c r="D62" s="716"/>
      <c r="E62" s="716"/>
      <c r="F62" s="716"/>
      <c r="G62" s="717"/>
      <c r="H62" s="657"/>
      <c r="I62" s="657"/>
      <c r="J62" s="657"/>
      <c r="K62" s="657"/>
      <c r="L62" s="657"/>
      <c r="M62" s="657"/>
    </row>
    <row r="63" spans="1:13">
      <c r="A63" s="722"/>
      <c r="B63" s="669"/>
      <c r="C63" s="715"/>
      <c r="D63" s="716"/>
      <c r="E63" s="716"/>
      <c r="F63" s="716"/>
      <c r="G63" s="717"/>
      <c r="H63" s="657"/>
      <c r="I63" s="657"/>
      <c r="J63" s="657"/>
      <c r="K63" s="657"/>
      <c r="L63" s="657"/>
      <c r="M63" s="657"/>
    </row>
    <row r="64" spans="1:13">
      <c r="A64" s="722"/>
      <c r="B64" s="669"/>
      <c r="C64" s="715"/>
      <c r="D64" s="716"/>
      <c r="E64" s="716"/>
      <c r="F64" s="716"/>
      <c r="G64" s="717"/>
      <c r="H64" s="657"/>
      <c r="I64" s="657"/>
      <c r="J64" s="657"/>
      <c r="K64" s="657"/>
      <c r="L64" s="657"/>
      <c r="M64" s="657"/>
    </row>
    <row r="65" spans="1:13">
      <c r="A65" s="722"/>
      <c r="B65" s="669"/>
      <c r="C65" s="715"/>
      <c r="D65" s="716"/>
      <c r="E65" s="716"/>
      <c r="F65" s="716"/>
      <c r="G65" s="717"/>
      <c r="H65" s="657"/>
      <c r="I65" s="657"/>
      <c r="J65" s="657"/>
      <c r="K65" s="657"/>
      <c r="L65" s="657"/>
      <c r="M65" s="657"/>
    </row>
    <row r="66" spans="1:13">
      <c r="A66" s="722"/>
      <c r="B66" s="669"/>
      <c r="C66" s="715"/>
      <c r="D66" s="716"/>
      <c r="E66" s="716"/>
      <c r="F66" s="716"/>
      <c r="G66" s="717"/>
      <c r="H66" s="657"/>
      <c r="I66" s="657"/>
      <c r="J66" s="657"/>
      <c r="K66" s="657"/>
      <c r="L66" s="657"/>
      <c r="M66" s="657"/>
    </row>
    <row r="67" spans="1:13">
      <c r="A67" s="722"/>
      <c r="B67" s="669"/>
      <c r="C67" s="715"/>
      <c r="D67" s="716"/>
      <c r="E67" s="716"/>
      <c r="F67" s="716"/>
      <c r="G67" s="717"/>
      <c r="H67" s="657"/>
      <c r="I67" s="657"/>
      <c r="J67" s="657"/>
      <c r="K67" s="657"/>
      <c r="L67" s="657"/>
      <c r="M67" s="657"/>
    </row>
    <row r="68" spans="1:13">
      <c r="A68" s="722"/>
      <c r="B68" s="669"/>
      <c r="C68" s="715"/>
      <c r="D68" s="716"/>
      <c r="E68" s="2207" t="s">
        <v>321</v>
      </c>
      <c r="F68" s="2207"/>
      <c r="G68" s="717"/>
      <c r="H68" s="657"/>
      <c r="I68" s="657"/>
      <c r="J68" s="657"/>
      <c r="K68" s="657"/>
      <c r="L68" s="657"/>
      <c r="M68" s="657"/>
    </row>
    <row r="69" spans="1:13" ht="24">
      <c r="A69" s="686" t="s">
        <v>308</v>
      </c>
      <c r="B69" s="2189" t="s">
        <v>322</v>
      </c>
      <c r="C69" s="2242"/>
      <c r="D69" s="687" t="s">
        <v>323</v>
      </c>
      <c r="E69" s="2189" t="s">
        <v>306</v>
      </c>
      <c r="F69" s="2190"/>
      <c r="G69" s="2191"/>
      <c r="H69" s="657"/>
      <c r="I69" s="657"/>
      <c r="J69" s="657"/>
      <c r="K69" s="657"/>
      <c r="L69" s="657"/>
      <c r="M69" s="657"/>
    </row>
    <row r="70" spans="1:13" ht="30.75" customHeight="1">
      <c r="A70" s="701" t="s">
        <v>655</v>
      </c>
      <c r="B70" s="2162" t="s">
        <v>656</v>
      </c>
      <c r="C70" s="2163"/>
      <c r="D70" s="723">
        <f>17.25+7.8+7.5+8.75+9.65+1.35+4.15+5+3.35+2.35+3.65+1.45+4.65+1.35</f>
        <v>78.25</v>
      </c>
      <c r="E70" s="2164" t="s">
        <v>657</v>
      </c>
      <c r="F70" s="2165"/>
      <c r="G70" s="2166"/>
      <c r="H70" s="657"/>
      <c r="I70" s="657"/>
      <c r="J70" s="657"/>
      <c r="K70" s="657"/>
      <c r="L70" s="657"/>
      <c r="M70" s="657"/>
    </row>
    <row r="71" spans="1:13" ht="15.75" thickBot="1">
      <c r="A71" s="724"/>
      <c r="B71" s="725"/>
      <c r="C71" s="726" t="s">
        <v>307</v>
      </c>
      <c r="D71" s="727">
        <f>ROUNDUP(D70,2)</f>
        <v>78.25</v>
      </c>
      <c r="E71" s="728"/>
      <c r="F71" s="729"/>
      <c r="G71" s="730"/>
      <c r="H71" s="657"/>
      <c r="I71" s="657"/>
      <c r="J71" s="657"/>
      <c r="K71" s="657"/>
      <c r="L71" s="657"/>
      <c r="M71" s="657"/>
    </row>
    <row r="72" spans="1:13" ht="15.75" thickBot="1">
      <c r="A72" s="731"/>
      <c r="B72" s="732"/>
      <c r="C72" s="733"/>
      <c r="D72" s="734"/>
      <c r="E72" s="735"/>
      <c r="F72" s="735"/>
      <c r="G72" s="736"/>
      <c r="H72" s="657"/>
      <c r="I72" s="657"/>
      <c r="J72" s="657"/>
      <c r="K72" s="657"/>
      <c r="L72" s="657"/>
      <c r="M72" s="657"/>
    </row>
    <row r="73" spans="1:13" ht="15.75" thickBot="1">
      <c r="A73" s="671" t="s">
        <v>278</v>
      </c>
      <c r="B73" s="2180" t="s">
        <v>204</v>
      </c>
      <c r="C73" s="2181"/>
      <c r="D73" s="2181"/>
      <c r="E73" s="2181"/>
      <c r="F73" s="2181"/>
      <c r="G73" s="2182"/>
      <c r="H73" s="657"/>
      <c r="I73" s="672" t="s">
        <v>457</v>
      </c>
      <c r="J73" s="657"/>
      <c r="K73" s="657"/>
      <c r="L73" s="657"/>
      <c r="M73" s="657"/>
    </row>
    <row r="74" spans="1:13" ht="15.75" thickBot="1">
      <c r="A74" s="737"/>
      <c r="B74" s="669"/>
      <c r="C74" s="715"/>
      <c r="D74" s="738"/>
      <c r="E74" s="739"/>
      <c r="F74" s="739"/>
      <c r="G74" s="740"/>
      <c r="H74" s="657"/>
      <c r="I74" s="657"/>
      <c r="J74" s="657"/>
      <c r="K74" s="657"/>
      <c r="L74" s="657"/>
      <c r="M74" s="657"/>
    </row>
    <row r="75" spans="1:13" ht="15.75" thickBot="1">
      <c r="A75" s="671" t="s">
        <v>324</v>
      </c>
      <c r="B75" s="2180" t="s">
        <v>325</v>
      </c>
      <c r="C75" s="2181"/>
      <c r="D75" s="2181"/>
      <c r="E75" s="2181"/>
      <c r="F75" s="2181"/>
      <c r="G75" s="2182"/>
      <c r="H75" s="657"/>
      <c r="I75" s="672" t="s">
        <v>457</v>
      </c>
      <c r="J75" s="657"/>
      <c r="K75" s="657"/>
      <c r="L75" s="657"/>
      <c r="M75" s="657"/>
    </row>
    <row r="76" spans="1:13" ht="15.75" thickBot="1">
      <c r="A76" s="737"/>
      <c r="B76" s="669"/>
      <c r="C76" s="715"/>
      <c r="D76" s="738"/>
      <c r="E76" s="739"/>
      <c r="F76" s="739"/>
      <c r="G76" s="740"/>
      <c r="H76" s="657"/>
      <c r="I76" s="657"/>
      <c r="J76" s="657"/>
      <c r="K76" s="657"/>
      <c r="L76" s="657"/>
      <c r="M76" s="657"/>
    </row>
    <row r="77" spans="1:13" ht="15.75" thickBot="1">
      <c r="A77" s="671" t="s">
        <v>326</v>
      </c>
      <c r="B77" s="2180" t="s">
        <v>327</v>
      </c>
      <c r="C77" s="2181"/>
      <c r="D77" s="2181"/>
      <c r="E77" s="2181"/>
      <c r="F77" s="2181"/>
      <c r="G77" s="2182"/>
      <c r="H77" s="657"/>
      <c r="I77" s="672" t="s">
        <v>457</v>
      </c>
      <c r="J77" s="657"/>
      <c r="K77" s="657"/>
      <c r="L77" s="657"/>
      <c r="M77" s="657"/>
    </row>
    <row r="78" spans="1:13" ht="15.75" thickBot="1">
      <c r="A78" s="737"/>
      <c r="B78" s="669"/>
      <c r="C78" s="715"/>
      <c r="D78" s="738"/>
      <c r="E78" s="739"/>
      <c r="F78" s="739"/>
      <c r="G78" s="740"/>
      <c r="H78" s="657"/>
      <c r="I78" s="657"/>
      <c r="J78" s="657"/>
      <c r="K78" s="657"/>
      <c r="L78" s="657"/>
      <c r="M78" s="657"/>
    </row>
    <row r="79" spans="1:13" ht="15.75" thickBot="1">
      <c r="A79" s="671" t="s">
        <v>328</v>
      </c>
      <c r="B79" s="2180" t="s">
        <v>329</v>
      </c>
      <c r="C79" s="2181"/>
      <c r="D79" s="2181"/>
      <c r="E79" s="2181"/>
      <c r="F79" s="2181"/>
      <c r="G79" s="2182"/>
      <c r="H79" s="657"/>
      <c r="I79" s="672" t="s">
        <v>457</v>
      </c>
      <c r="J79" s="657"/>
      <c r="K79" s="657"/>
      <c r="L79" s="657"/>
      <c r="M79" s="657"/>
    </row>
    <row r="80" spans="1:13" ht="15.75" thickBot="1">
      <c r="A80" s="737"/>
      <c r="B80" s="669"/>
      <c r="C80" s="715"/>
      <c r="D80" s="738"/>
      <c r="E80" s="739"/>
      <c r="F80" s="739"/>
      <c r="G80" s="740"/>
      <c r="H80" s="657"/>
      <c r="I80" s="657"/>
      <c r="J80" s="657"/>
      <c r="K80" s="657"/>
      <c r="L80" s="657"/>
      <c r="M80" s="657"/>
    </row>
    <row r="81" spans="1:13" ht="15.75" thickBot="1">
      <c r="A81" s="671" t="s">
        <v>330</v>
      </c>
      <c r="B81" s="2180" t="s">
        <v>331</v>
      </c>
      <c r="C81" s="2181"/>
      <c r="D81" s="2181"/>
      <c r="E81" s="2181"/>
      <c r="F81" s="2181"/>
      <c r="G81" s="2182"/>
      <c r="H81" s="657"/>
      <c r="I81" s="657"/>
      <c r="J81" s="657"/>
      <c r="K81" s="657"/>
      <c r="L81" s="657"/>
      <c r="M81" s="657"/>
    </row>
    <row r="82" spans="1:13" ht="15.75" thickBot="1">
      <c r="A82" s="671" t="s">
        <v>67</v>
      </c>
      <c r="B82" s="2180" t="s">
        <v>658</v>
      </c>
      <c r="C82" s="2181"/>
      <c r="D82" s="2181"/>
      <c r="E82" s="2181"/>
      <c r="F82" s="2181"/>
      <c r="G82" s="2182"/>
      <c r="H82" s="657"/>
      <c r="I82" s="672" t="s">
        <v>457</v>
      </c>
      <c r="J82" s="657"/>
      <c r="K82" s="657"/>
      <c r="L82" s="657"/>
      <c r="M82" s="657"/>
    </row>
    <row r="83" spans="1:13">
      <c r="A83" s="2204"/>
      <c r="B83" s="2205"/>
      <c r="C83" s="2205"/>
      <c r="D83" s="2205"/>
      <c r="E83" s="2205"/>
      <c r="F83" s="2205"/>
      <c r="G83" s="2206"/>
      <c r="H83" s="741"/>
      <c r="I83" s="657"/>
      <c r="J83" s="657"/>
      <c r="K83" s="657"/>
      <c r="L83" s="657"/>
      <c r="M83" s="657"/>
    </row>
    <row r="84" spans="1:13">
      <c r="A84" s="742"/>
      <c r="B84" s="743"/>
      <c r="C84" s="743"/>
      <c r="D84" s="743"/>
      <c r="E84" s="743"/>
      <c r="F84" s="743"/>
      <c r="G84" s="744"/>
      <c r="H84" s="741"/>
      <c r="I84" s="657"/>
      <c r="J84" s="657"/>
      <c r="K84" s="657"/>
      <c r="L84" s="657"/>
      <c r="M84" s="657"/>
    </row>
    <row r="85" spans="1:13">
      <c r="A85" s="742"/>
      <c r="B85" s="743"/>
      <c r="C85" s="743"/>
      <c r="D85" s="743"/>
      <c r="E85" s="743"/>
      <c r="F85" s="743"/>
      <c r="G85" s="744"/>
      <c r="H85" s="741"/>
      <c r="I85" s="657"/>
      <c r="J85" s="657"/>
      <c r="K85" s="657"/>
      <c r="L85" s="657"/>
      <c r="M85" s="657"/>
    </row>
    <row r="86" spans="1:13">
      <c r="A86" s="742"/>
      <c r="B86" s="743"/>
      <c r="C86" s="743"/>
      <c r="D86" s="743"/>
      <c r="E86" s="743"/>
      <c r="F86" s="743"/>
      <c r="G86" s="744"/>
      <c r="H86" s="741"/>
      <c r="I86" s="657"/>
      <c r="J86" s="657"/>
      <c r="K86" s="657"/>
      <c r="L86" s="657"/>
      <c r="M86" s="657"/>
    </row>
    <row r="87" spans="1:13">
      <c r="A87" s="742"/>
      <c r="B87" s="743"/>
      <c r="C87" s="743"/>
      <c r="D87" s="743"/>
      <c r="E87" s="743"/>
      <c r="F87" s="743"/>
      <c r="G87" s="744"/>
      <c r="H87" s="741"/>
      <c r="I87" s="657"/>
      <c r="J87" s="657"/>
      <c r="K87" s="657"/>
      <c r="L87" s="657"/>
      <c r="M87" s="657"/>
    </row>
    <row r="88" spans="1:13">
      <c r="A88" s="742"/>
      <c r="B88" s="743"/>
      <c r="C88" s="743"/>
      <c r="D88" s="743"/>
      <c r="E88" s="743"/>
      <c r="F88" s="743"/>
      <c r="G88" s="744"/>
      <c r="H88" s="741"/>
      <c r="I88" s="657"/>
      <c r="J88" s="657"/>
      <c r="K88" s="657"/>
      <c r="L88" s="657"/>
      <c r="M88" s="657"/>
    </row>
    <row r="89" spans="1:13">
      <c r="A89" s="742"/>
      <c r="B89" s="743"/>
      <c r="C89" s="743"/>
      <c r="D89" s="743"/>
      <c r="E89" s="743"/>
      <c r="F89" s="743"/>
      <c r="G89" s="744"/>
      <c r="H89" s="741"/>
      <c r="I89" s="657"/>
      <c r="J89" s="657"/>
      <c r="K89" s="657"/>
      <c r="L89" s="657"/>
      <c r="M89" s="657"/>
    </row>
    <row r="90" spans="1:13">
      <c r="A90" s="742"/>
      <c r="B90" s="743"/>
      <c r="C90" s="743"/>
      <c r="D90" s="743"/>
      <c r="E90" s="743"/>
      <c r="F90" s="743"/>
      <c r="G90" s="744"/>
      <c r="H90" s="741"/>
      <c r="I90" s="657"/>
      <c r="J90" s="657"/>
      <c r="K90" s="657"/>
      <c r="L90" s="657"/>
      <c r="M90" s="657"/>
    </row>
    <row r="91" spans="1:13">
      <c r="A91" s="742"/>
      <c r="B91" s="743"/>
      <c r="C91" s="743"/>
      <c r="D91" s="743"/>
      <c r="E91" s="743"/>
      <c r="F91" s="743"/>
      <c r="G91" s="744"/>
      <c r="H91" s="741"/>
      <c r="I91" s="657"/>
      <c r="J91" s="657"/>
      <c r="K91" s="657"/>
      <c r="L91" s="657"/>
      <c r="M91" s="657"/>
    </row>
    <row r="92" spans="1:13">
      <c r="A92" s="742"/>
      <c r="B92" s="743"/>
      <c r="C92" s="743"/>
      <c r="D92" s="743"/>
      <c r="E92" s="743"/>
      <c r="F92" s="743"/>
      <c r="G92" s="744"/>
      <c r="H92" s="741"/>
      <c r="I92" s="657"/>
      <c r="J92" s="657"/>
      <c r="K92" s="657"/>
      <c r="L92" s="657"/>
      <c r="M92" s="657"/>
    </row>
    <row r="93" spans="1:13">
      <c r="A93" s="742"/>
      <c r="B93" s="743"/>
      <c r="C93" s="743"/>
      <c r="D93" s="743"/>
      <c r="E93" s="743"/>
      <c r="F93" s="743"/>
      <c r="G93" s="744"/>
      <c r="H93" s="741"/>
      <c r="I93" s="657"/>
      <c r="J93" s="657"/>
      <c r="K93" s="657"/>
      <c r="L93" s="657"/>
      <c r="M93" s="657"/>
    </row>
    <row r="94" spans="1:13">
      <c r="A94" s="742"/>
      <c r="B94" s="743"/>
      <c r="C94" s="743"/>
      <c r="D94" s="743"/>
      <c r="E94" s="2207" t="s">
        <v>321</v>
      </c>
      <c r="F94" s="2207"/>
      <c r="G94" s="744"/>
      <c r="H94" s="741"/>
      <c r="I94" s="657"/>
      <c r="J94" s="657"/>
      <c r="K94" s="657"/>
      <c r="L94" s="657"/>
      <c r="M94" s="657"/>
    </row>
    <row r="95" spans="1:13">
      <c r="A95" s="2225" t="s">
        <v>395</v>
      </c>
      <c r="B95" s="2226"/>
      <c r="C95" s="2226"/>
      <c r="D95" s="2226"/>
      <c r="E95" s="2226"/>
      <c r="F95" s="2226"/>
      <c r="G95" s="2227"/>
      <c r="H95" s="741"/>
      <c r="I95" s="657"/>
      <c r="J95" s="657"/>
      <c r="K95" s="657"/>
      <c r="L95" s="657"/>
      <c r="M95" s="657"/>
    </row>
    <row r="96" spans="1:13">
      <c r="A96" s="686" t="s">
        <v>322</v>
      </c>
      <c r="B96" s="687" t="s">
        <v>322</v>
      </c>
      <c r="C96" s="687" t="s">
        <v>332</v>
      </c>
      <c r="D96" s="687" t="s">
        <v>333</v>
      </c>
      <c r="E96" s="687" t="s">
        <v>334</v>
      </c>
      <c r="F96" s="687" t="s">
        <v>335</v>
      </c>
      <c r="G96" s="745" t="s">
        <v>336</v>
      </c>
      <c r="H96" s="741"/>
      <c r="I96" s="657"/>
      <c r="J96" s="657"/>
      <c r="K96" s="657"/>
      <c r="L96" s="657"/>
      <c r="M96" s="657"/>
    </row>
    <row r="97" spans="1:13">
      <c r="A97" s="2201" t="s">
        <v>659</v>
      </c>
      <c r="B97" s="2202"/>
      <c r="C97" s="2202"/>
      <c r="D97" s="2202"/>
      <c r="E97" s="2202"/>
      <c r="F97" s="2202"/>
      <c r="G97" s="2203"/>
      <c r="H97" s="741"/>
      <c r="I97" s="657"/>
      <c r="J97" s="657"/>
      <c r="K97" s="657"/>
      <c r="L97" s="657"/>
      <c r="M97" s="657"/>
    </row>
    <row r="98" spans="1:13">
      <c r="A98" s="746">
        <v>7.5</v>
      </c>
      <c r="B98" s="723">
        <v>7.5</v>
      </c>
      <c r="C98" s="723">
        <v>3</v>
      </c>
      <c r="D98" s="723">
        <f>ROUNDUP(B98*C98,2)</f>
        <v>22.5</v>
      </c>
      <c r="E98" s="747" t="s">
        <v>660</v>
      </c>
      <c r="F98" s="723">
        <f>1.6*2.1</f>
        <v>3.3600000000000003</v>
      </c>
      <c r="G98" s="748">
        <f t="shared" ref="G98:G107" si="0">ROUNDUP(D98-F98,2)</f>
        <v>19.14</v>
      </c>
      <c r="H98" s="741"/>
      <c r="I98" s="657"/>
      <c r="J98" s="657"/>
      <c r="K98" s="657"/>
      <c r="L98" s="657"/>
      <c r="M98" s="657"/>
    </row>
    <row r="99" spans="1:13">
      <c r="A99" s="746">
        <v>3.35</v>
      </c>
      <c r="B99" s="723">
        <f>A99</f>
        <v>3.35</v>
      </c>
      <c r="C99" s="723">
        <v>3</v>
      </c>
      <c r="D99" s="723">
        <f>B99*C99</f>
        <v>10.050000000000001</v>
      </c>
      <c r="E99" s="747" t="s">
        <v>661</v>
      </c>
      <c r="F99" s="723">
        <f>(0.8*2.1)</f>
        <v>1.6800000000000002</v>
      </c>
      <c r="G99" s="748">
        <f t="shared" si="0"/>
        <v>8.3699999999999992</v>
      </c>
      <c r="H99" s="741"/>
      <c r="I99" s="657"/>
      <c r="J99" s="657"/>
      <c r="K99" s="657"/>
      <c r="L99" s="657"/>
      <c r="M99" s="657"/>
    </row>
    <row r="100" spans="1:13" ht="36">
      <c r="A100" s="746">
        <v>17.25</v>
      </c>
      <c r="B100" s="723">
        <v>17.25</v>
      </c>
      <c r="C100" s="723">
        <v>3</v>
      </c>
      <c r="D100" s="723">
        <f t="shared" ref="D100:D107" si="1">ROUNDUP(B100*C100,2)</f>
        <v>51.75</v>
      </c>
      <c r="E100" s="747" t="s">
        <v>662</v>
      </c>
      <c r="F100" s="723">
        <f>(2.3*1.1*3)+(1.1*1*2)</f>
        <v>9.7899999999999991</v>
      </c>
      <c r="G100" s="749">
        <f t="shared" si="0"/>
        <v>41.96</v>
      </c>
      <c r="H100" s="741"/>
      <c r="I100" s="657"/>
      <c r="J100" s="657"/>
      <c r="K100" s="657"/>
      <c r="L100" s="657"/>
      <c r="M100" s="657"/>
    </row>
    <row r="101" spans="1:13" ht="60">
      <c r="A101" s="746">
        <v>19.600000000000001</v>
      </c>
      <c r="B101" s="723">
        <v>19.600000000000001</v>
      </c>
      <c r="C101" s="723">
        <v>3.2</v>
      </c>
      <c r="D101" s="723">
        <f t="shared" si="1"/>
        <v>62.72</v>
      </c>
      <c r="E101" s="747" t="s">
        <v>663</v>
      </c>
      <c r="F101" s="723">
        <f>(1*0.6*3)+(2.3*1.1*2)+(0.8*2.1)+(1.3*2.1)</f>
        <v>11.27</v>
      </c>
      <c r="G101" s="748">
        <f t="shared" si="0"/>
        <v>51.45</v>
      </c>
      <c r="H101" s="741"/>
      <c r="I101" s="657"/>
      <c r="J101" s="657"/>
      <c r="K101" s="657"/>
      <c r="L101" s="657"/>
      <c r="M101" s="657"/>
    </row>
    <row r="102" spans="1:13">
      <c r="A102" s="746">
        <v>5.8</v>
      </c>
      <c r="B102" s="723">
        <v>5.8</v>
      </c>
      <c r="C102" s="723">
        <v>3</v>
      </c>
      <c r="D102" s="723">
        <f t="shared" si="1"/>
        <v>17.399999999999999</v>
      </c>
      <c r="E102" s="747" t="s">
        <v>664</v>
      </c>
      <c r="F102" s="723">
        <f>2.2*1.1</f>
        <v>2.4200000000000004</v>
      </c>
      <c r="G102" s="748">
        <f t="shared" si="0"/>
        <v>14.98</v>
      </c>
      <c r="H102" s="741"/>
      <c r="I102" s="657"/>
      <c r="J102" s="657"/>
      <c r="K102" s="657"/>
      <c r="L102" s="657"/>
      <c r="M102" s="657"/>
    </row>
    <row r="103" spans="1:13">
      <c r="A103" s="746">
        <v>3.65</v>
      </c>
      <c r="B103" s="723">
        <v>3.65</v>
      </c>
      <c r="C103" s="723">
        <v>3</v>
      </c>
      <c r="D103" s="723">
        <f t="shared" si="1"/>
        <v>10.95</v>
      </c>
      <c r="E103" s="747" t="s">
        <v>664</v>
      </c>
      <c r="F103" s="723">
        <f>2.2*1.1</f>
        <v>2.4200000000000004</v>
      </c>
      <c r="G103" s="748">
        <f t="shared" si="0"/>
        <v>8.5299999999999994</v>
      </c>
      <c r="H103" s="741"/>
      <c r="I103" s="657"/>
      <c r="J103" s="657"/>
      <c r="K103" s="657"/>
      <c r="L103" s="657"/>
      <c r="M103" s="657"/>
    </row>
    <row r="104" spans="1:13" ht="24">
      <c r="A104" s="746">
        <v>4.1500000000000004</v>
      </c>
      <c r="B104" s="723">
        <v>4.1500000000000004</v>
      </c>
      <c r="C104" s="723">
        <v>3</v>
      </c>
      <c r="D104" s="723">
        <f t="shared" si="1"/>
        <v>12.45</v>
      </c>
      <c r="E104" s="747" t="s">
        <v>665</v>
      </c>
      <c r="F104" s="723">
        <f>(0.8*2.1)+(2.3*1.1)</f>
        <v>4.21</v>
      </c>
      <c r="G104" s="748">
        <f t="shared" si="0"/>
        <v>8.24</v>
      </c>
      <c r="H104" s="741"/>
      <c r="I104" s="657"/>
      <c r="J104" s="657"/>
      <c r="K104" s="657"/>
      <c r="L104" s="657"/>
      <c r="M104" s="657"/>
    </row>
    <row r="105" spans="1:13">
      <c r="A105" s="746">
        <v>5.8</v>
      </c>
      <c r="B105" s="723">
        <v>5.8</v>
      </c>
      <c r="C105" s="723">
        <v>3</v>
      </c>
      <c r="D105" s="723">
        <f t="shared" si="1"/>
        <v>17.399999999999999</v>
      </c>
      <c r="E105" s="747" t="s">
        <v>666</v>
      </c>
      <c r="F105" s="723">
        <f>2.2*1.1</f>
        <v>2.4200000000000004</v>
      </c>
      <c r="G105" s="748">
        <f t="shared" si="0"/>
        <v>14.98</v>
      </c>
      <c r="H105" s="741"/>
      <c r="I105" s="657"/>
      <c r="J105" s="657"/>
      <c r="K105" s="657"/>
      <c r="L105" s="657"/>
      <c r="M105" s="657"/>
    </row>
    <row r="106" spans="1:13" ht="24">
      <c r="A106" s="746">
        <v>9.8000000000000007</v>
      </c>
      <c r="B106" s="723">
        <v>9.8000000000000007</v>
      </c>
      <c r="C106" s="723">
        <v>3</v>
      </c>
      <c r="D106" s="723">
        <f t="shared" si="1"/>
        <v>29.4</v>
      </c>
      <c r="E106" s="747" t="s">
        <v>667</v>
      </c>
      <c r="F106" s="723">
        <f>(0.6*1.1*6)</f>
        <v>3.96</v>
      </c>
      <c r="G106" s="748">
        <f t="shared" si="0"/>
        <v>25.44</v>
      </c>
      <c r="H106" s="741"/>
      <c r="I106" s="657"/>
      <c r="J106" s="657"/>
      <c r="K106" s="657"/>
      <c r="L106" s="657"/>
      <c r="M106" s="657"/>
    </row>
    <row r="107" spans="1:13" ht="24">
      <c r="A107" s="746">
        <v>6.15</v>
      </c>
      <c r="B107" s="723">
        <v>6.15</v>
      </c>
      <c r="C107" s="723">
        <v>3</v>
      </c>
      <c r="D107" s="723">
        <f t="shared" si="1"/>
        <v>18.45</v>
      </c>
      <c r="E107" s="747" t="s">
        <v>668</v>
      </c>
      <c r="F107" s="723">
        <f>(0.8*2.1*4)</f>
        <v>6.7200000000000006</v>
      </c>
      <c r="G107" s="748">
        <f t="shared" si="0"/>
        <v>11.73</v>
      </c>
      <c r="H107" s="741"/>
      <c r="I107" s="750">
        <f>SUM(G98:G107)</f>
        <v>204.82</v>
      </c>
      <c r="J107" s="657"/>
      <c r="K107" s="657"/>
      <c r="L107" s="657"/>
      <c r="M107" s="657"/>
    </row>
    <row r="108" spans="1:13">
      <c r="A108" s="2201" t="s">
        <v>339</v>
      </c>
      <c r="B108" s="2202"/>
      <c r="C108" s="2202"/>
      <c r="D108" s="2202"/>
      <c r="E108" s="2202"/>
      <c r="F108" s="2202"/>
      <c r="G108" s="2203"/>
      <c r="H108" s="741"/>
      <c r="I108" s="657"/>
      <c r="J108" s="657"/>
      <c r="K108" s="657"/>
      <c r="L108" s="657"/>
      <c r="M108" s="657"/>
    </row>
    <row r="109" spans="1:13" ht="24">
      <c r="A109" s="701" t="s">
        <v>669</v>
      </c>
      <c r="B109" s="723">
        <f>1.35+1.354+(1.85*4)+1.95</f>
        <v>12.054</v>
      </c>
      <c r="C109" s="723">
        <v>3</v>
      </c>
      <c r="D109" s="723">
        <f>ROUNDUP(B109*C109,2)</f>
        <v>36.169999999999995</v>
      </c>
      <c r="E109" s="723"/>
      <c r="F109" s="723"/>
      <c r="G109" s="748">
        <f>ROUNDUP(D109-F109,2)</f>
        <v>36.17</v>
      </c>
      <c r="H109" s="741"/>
      <c r="I109" s="657"/>
      <c r="J109" s="657"/>
      <c r="K109" s="657"/>
      <c r="L109" s="657"/>
      <c r="M109" s="657"/>
    </row>
    <row r="110" spans="1:13" ht="36">
      <c r="A110" s="701" t="s">
        <v>670</v>
      </c>
      <c r="B110" s="723">
        <f>4.15+1.5+4.8+3.65+1.65+4.3+4</f>
        <v>24.05</v>
      </c>
      <c r="C110" s="723">
        <v>1.22</v>
      </c>
      <c r="D110" s="723">
        <f>B110*C110</f>
        <v>29.341000000000001</v>
      </c>
      <c r="E110" s="723"/>
      <c r="F110" s="723"/>
      <c r="G110" s="748">
        <f>ROUNDUP(D110-F110,2)</f>
        <v>29.35</v>
      </c>
      <c r="H110" s="741"/>
      <c r="I110" s="657"/>
      <c r="J110" s="657"/>
      <c r="K110" s="657"/>
      <c r="L110" s="657"/>
      <c r="M110" s="657"/>
    </row>
    <row r="111" spans="1:13">
      <c r="A111" s="751" t="s">
        <v>671</v>
      </c>
      <c r="B111" s="723">
        <v>3.55</v>
      </c>
      <c r="C111" s="752">
        <v>1.22</v>
      </c>
      <c r="D111" s="723">
        <f>B111*C111</f>
        <v>4.3309999999999995</v>
      </c>
      <c r="E111" s="752"/>
      <c r="F111" s="723"/>
      <c r="G111" s="748">
        <f>ROUNDUP(D111-F111,2)</f>
        <v>4.34</v>
      </c>
      <c r="H111" s="741"/>
      <c r="I111" s="750">
        <f>SUM(G109:G111)</f>
        <v>69.860000000000014</v>
      </c>
      <c r="J111" s="657"/>
      <c r="K111" s="657"/>
      <c r="L111" s="657"/>
      <c r="M111" s="657"/>
    </row>
    <row r="112" spans="1:13">
      <c r="A112" s="2201" t="s">
        <v>337</v>
      </c>
      <c r="B112" s="2202"/>
      <c r="C112" s="2202"/>
      <c r="D112" s="2202"/>
      <c r="E112" s="2202"/>
      <c r="F112" s="2202"/>
      <c r="G112" s="2203"/>
      <c r="H112" s="741"/>
      <c r="I112" s="657"/>
      <c r="J112" s="657"/>
      <c r="K112" s="657"/>
      <c r="L112" s="657"/>
      <c r="M112" s="657"/>
    </row>
    <row r="113" spans="1:13" ht="36">
      <c r="A113" s="701" t="s">
        <v>672</v>
      </c>
      <c r="B113" s="723">
        <f>7.5+4+3.35+4+4.5+5+(3.85*4)+3.75</f>
        <v>47.5</v>
      </c>
      <c r="C113" s="723">
        <v>3</v>
      </c>
      <c r="D113" s="723">
        <f>ROUNDUP(B113*C113,2)</f>
        <v>142.5</v>
      </c>
      <c r="E113" s="723"/>
      <c r="F113" s="723"/>
      <c r="G113" s="748">
        <f>ROUNDUP(D113-F113,2)</f>
        <v>142.5</v>
      </c>
      <c r="H113" s="741"/>
      <c r="I113" s="657"/>
      <c r="J113" s="657"/>
      <c r="K113" s="657"/>
      <c r="L113" s="657"/>
      <c r="M113" s="657"/>
    </row>
    <row r="114" spans="1:13">
      <c r="A114" s="701" t="s">
        <v>673</v>
      </c>
      <c r="B114" s="723">
        <v>5.3</v>
      </c>
      <c r="C114" s="723">
        <v>1.22</v>
      </c>
      <c r="D114" s="723">
        <f>ROUNDUP(B114*C114,2)</f>
        <v>6.47</v>
      </c>
      <c r="E114" s="723"/>
      <c r="F114" s="723"/>
      <c r="G114" s="748">
        <f>ROUNDUP(D114-F114,2)</f>
        <v>6.47</v>
      </c>
      <c r="H114" s="657"/>
      <c r="I114" s="657"/>
      <c r="J114" s="657"/>
      <c r="K114" s="657"/>
      <c r="L114" s="657"/>
      <c r="M114" s="657"/>
    </row>
    <row r="115" spans="1:13" ht="24">
      <c r="A115" s="701" t="s">
        <v>674</v>
      </c>
      <c r="B115" s="723">
        <f>17.25+7.5+7.65</f>
        <v>32.4</v>
      </c>
      <c r="C115" s="723">
        <v>1.22</v>
      </c>
      <c r="D115" s="723">
        <f>ROUNDUP(B115*C115,2)</f>
        <v>39.53</v>
      </c>
      <c r="E115" s="723"/>
      <c r="F115" s="723"/>
      <c r="G115" s="748">
        <f>ROUNDUP(D115-F115,2)</f>
        <v>39.53</v>
      </c>
      <c r="H115" s="657"/>
      <c r="I115" s="657"/>
      <c r="J115" s="657"/>
      <c r="K115" s="657"/>
      <c r="L115" s="657"/>
      <c r="M115" s="657"/>
    </row>
    <row r="116" spans="1:13" ht="24">
      <c r="A116" s="701" t="s">
        <v>675</v>
      </c>
      <c r="B116" s="723">
        <f>4.6*2+(9.8)</f>
        <v>19</v>
      </c>
      <c r="C116" s="723">
        <v>1.8</v>
      </c>
      <c r="D116" s="723">
        <f>ROUNDUP(B116*C116,2)</f>
        <v>34.200000000000003</v>
      </c>
      <c r="E116" s="723"/>
      <c r="F116" s="723"/>
      <c r="G116" s="748">
        <f>ROUNDUP(D116-F116,2)</f>
        <v>34.200000000000003</v>
      </c>
      <c r="H116" s="657"/>
      <c r="I116" s="657"/>
      <c r="J116" s="657"/>
      <c r="K116" s="657"/>
      <c r="L116" s="657"/>
      <c r="M116" s="657"/>
    </row>
    <row r="117" spans="1:13" ht="24">
      <c r="A117" s="701" t="s">
        <v>676</v>
      </c>
      <c r="B117" s="723">
        <f>4*2+(9.8)</f>
        <v>17.8</v>
      </c>
      <c r="C117" s="723">
        <v>2.2799999999999998</v>
      </c>
      <c r="D117" s="723">
        <f>ROUNDUP(B117*C117,2)</f>
        <v>40.589999999999996</v>
      </c>
      <c r="E117" s="723"/>
      <c r="F117" s="723"/>
      <c r="G117" s="748">
        <f>ROUNDUP(D117-F117,2)</f>
        <v>40.590000000000003</v>
      </c>
      <c r="H117" s="657"/>
      <c r="I117" s="750">
        <f>SUM(G113:G117)</f>
        <v>263.28999999999996</v>
      </c>
      <c r="J117" s="657"/>
      <c r="K117" s="657"/>
      <c r="L117" s="657"/>
      <c r="M117" s="657"/>
    </row>
    <row r="118" spans="1:13">
      <c r="A118" s="2201" t="s">
        <v>677</v>
      </c>
      <c r="B118" s="2202"/>
      <c r="C118" s="2202"/>
      <c r="D118" s="2202"/>
      <c r="E118" s="2202"/>
      <c r="F118" s="2202"/>
      <c r="G118" s="2203"/>
      <c r="H118" s="657"/>
      <c r="I118" s="657"/>
      <c r="J118" s="657"/>
      <c r="K118" s="657"/>
      <c r="L118" s="657"/>
      <c r="M118" s="657"/>
    </row>
    <row r="119" spans="1:13">
      <c r="A119" s="746">
        <v>2.2999999999999998</v>
      </c>
      <c r="B119" s="723">
        <v>2.2999999999999998</v>
      </c>
      <c r="C119" s="723">
        <v>3</v>
      </c>
      <c r="D119" s="723">
        <f>ROUNDUP(B119*C119,2)</f>
        <v>6.9</v>
      </c>
      <c r="E119" s="747" t="s">
        <v>678</v>
      </c>
      <c r="F119" s="723">
        <f>(1.2*1.1)</f>
        <v>1.32</v>
      </c>
      <c r="G119" s="748">
        <f>ROUNDUP(D119-F119,2)</f>
        <v>5.58</v>
      </c>
      <c r="H119" s="657"/>
      <c r="I119" s="657"/>
      <c r="J119" s="657"/>
      <c r="K119" s="657"/>
      <c r="L119" s="657"/>
      <c r="M119" s="657"/>
    </row>
    <row r="120" spans="1:13">
      <c r="A120" s="746">
        <v>1.95</v>
      </c>
      <c r="B120" s="723">
        <v>1.95</v>
      </c>
      <c r="C120" s="723">
        <v>3</v>
      </c>
      <c r="D120" s="723">
        <f>B120*C120</f>
        <v>5.85</v>
      </c>
      <c r="E120" s="747" t="s">
        <v>679</v>
      </c>
      <c r="F120" s="723">
        <f>(0.8*2.1)</f>
        <v>1.6800000000000002</v>
      </c>
      <c r="G120" s="748">
        <f>ROUNDUP(D120-F120,2)</f>
        <v>4.17</v>
      </c>
      <c r="H120" s="657"/>
      <c r="I120" s="657"/>
      <c r="J120" s="657"/>
      <c r="K120" s="657"/>
      <c r="L120" s="657"/>
      <c r="M120" s="657"/>
    </row>
    <row r="121" spans="1:13">
      <c r="A121" s="746">
        <v>1.35</v>
      </c>
      <c r="B121" s="723">
        <v>1.35</v>
      </c>
      <c r="C121" s="723">
        <v>3</v>
      </c>
      <c r="D121" s="723">
        <f>ROUNDUP(B121*C121,2)</f>
        <v>4.05</v>
      </c>
      <c r="E121" s="747" t="s">
        <v>680</v>
      </c>
      <c r="F121" s="723">
        <f>(0.8*2.1)</f>
        <v>1.6800000000000002</v>
      </c>
      <c r="G121" s="748">
        <f>ROUNDUP(D121-F121,2)</f>
        <v>2.37</v>
      </c>
      <c r="H121" s="657"/>
      <c r="I121" s="657"/>
      <c r="J121" s="657"/>
      <c r="K121" s="657"/>
      <c r="L121" s="657"/>
      <c r="M121" s="657"/>
    </row>
    <row r="122" spans="1:13">
      <c r="A122" s="746">
        <v>2.5</v>
      </c>
      <c r="B122" s="723">
        <v>2.5</v>
      </c>
      <c r="C122" s="723">
        <v>3</v>
      </c>
      <c r="D122" s="723">
        <f>B122*C122</f>
        <v>7.5</v>
      </c>
      <c r="E122" s="747" t="s">
        <v>681</v>
      </c>
      <c r="F122" s="723">
        <f>(1*2.1)</f>
        <v>2.1</v>
      </c>
      <c r="G122" s="748">
        <f>ROUNDUP(D122-F122,2)</f>
        <v>5.4</v>
      </c>
      <c r="H122" s="657"/>
      <c r="I122" s="750">
        <f>SUM(G119:G122)</f>
        <v>17.520000000000003</v>
      </c>
      <c r="J122" s="657"/>
      <c r="K122" s="657"/>
      <c r="L122" s="657"/>
      <c r="M122" s="657"/>
    </row>
    <row r="123" spans="1:13">
      <c r="A123" s="2273" t="s">
        <v>306</v>
      </c>
      <c r="B123" s="2242"/>
      <c r="C123" s="2189" t="s">
        <v>682</v>
      </c>
      <c r="D123" s="2190"/>
      <c r="E123" s="2190"/>
      <c r="F123" s="2190"/>
      <c r="G123" s="2191"/>
      <c r="H123" s="657"/>
      <c r="I123" s="657"/>
      <c r="J123" s="657"/>
      <c r="K123" s="657"/>
      <c r="L123" s="657"/>
      <c r="M123" s="657"/>
    </row>
    <row r="124" spans="1:13">
      <c r="A124" s="2274"/>
      <c r="B124" s="2275"/>
      <c r="C124" s="2195" t="s">
        <v>659</v>
      </c>
      <c r="D124" s="2196"/>
      <c r="E124" s="2196"/>
      <c r="F124" s="2197"/>
      <c r="G124" s="748"/>
      <c r="H124" s="657"/>
      <c r="I124" s="657"/>
      <c r="J124" s="657"/>
      <c r="K124" s="657"/>
      <c r="L124" s="657"/>
      <c r="M124" s="657"/>
    </row>
    <row r="125" spans="1:13">
      <c r="A125" s="2276"/>
      <c r="B125" s="2277"/>
      <c r="C125" s="2198" t="s">
        <v>307</v>
      </c>
      <c r="D125" s="2199"/>
      <c r="E125" s="2199"/>
      <c r="F125" s="2200"/>
      <c r="G125" s="755">
        <f>G98+G99+G100+G101+G102+G103+G104+G105+G106+G107</f>
        <v>204.82</v>
      </c>
      <c r="H125" s="657"/>
      <c r="I125" s="753">
        <v>204.82</v>
      </c>
      <c r="J125" s="657"/>
      <c r="K125" s="657"/>
      <c r="L125" s="657"/>
      <c r="M125" s="657"/>
    </row>
    <row r="126" spans="1:13">
      <c r="A126" s="2276"/>
      <c r="B126" s="2277"/>
      <c r="C126" s="2195" t="s">
        <v>339</v>
      </c>
      <c r="D126" s="2196"/>
      <c r="E126" s="2196"/>
      <c r="F126" s="2197"/>
      <c r="G126" s="754"/>
      <c r="H126" s="657"/>
      <c r="I126" s="657"/>
      <c r="J126" s="657"/>
      <c r="K126" s="657"/>
      <c r="L126" s="657"/>
      <c r="M126" s="657"/>
    </row>
    <row r="127" spans="1:13">
      <c r="A127" s="2276"/>
      <c r="B127" s="2277"/>
      <c r="C127" s="2198" t="s">
        <v>307</v>
      </c>
      <c r="D127" s="2199"/>
      <c r="E127" s="2199"/>
      <c r="F127" s="2200"/>
      <c r="G127" s="755">
        <f>G109+G110+G111</f>
        <v>69.860000000000014</v>
      </c>
      <c r="H127" s="657"/>
      <c r="I127" s="657"/>
      <c r="J127" s="657"/>
      <c r="K127" s="657"/>
      <c r="L127" s="657"/>
      <c r="M127" s="657"/>
    </row>
    <row r="128" spans="1:13">
      <c r="A128" s="2276"/>
      <c r="B128" s="2277"/>
      <c r="C128" s="2195" t="s">
        <v>683</v>
      </c>
      <c r="D128" s="2196"/>
      <c r="E128" s="2196"/>
      <c r="F128" s="2197"/>
      <c r="G128" s="756"/>
      <c r="H128" s="657"/>
      <c r="I128" s="657"/>
      <c r="J128" s="657"/>
      <c r="K128" s="657"/>
      <c r="L128" s="657"/>
      <c r="M128" s="657"/>
    </row>
    <row r="129" spans="1:13">
      <c r="A129" s="2276"/>
      <c r="B129" s="2277"/>
      <c r="C129" s="2198" t="s">
        <v>307</v>
      </c>
      <c r="D129" s="2199"/>
      <c r="E129" s="2199"/>
      <c r="F129" s="2200"/>
      <c r="G129" s="755">
        <f>G113+G114+G115+G116+G117</f>
        <v>263.28999999999996</v>
      </c>
      <c r="H129" s="657"/>
      <c r="I129" s="657"/>
      <c r="J129" s="657"/>
      <c r="K129" s="657"/>
      <c r="L129" s="657"/>
      <c r="M129" s="657"/>
    </row>
    <row r="130" spans="1:13">
      <c r="A130" s="2276"/>
      <c r="B130" s="2277"/>
      <c r="C130" s="2195" t="s">
        <v>338</v>
      </c>
      <c r="D130" s="2196"/>
      <c r="E130" s="2196"/>
      <c r="F130" s="2197"/>
      <c r="G130" s="748"/>
      <c r="H130" s="657"/>
      <c r="I130" s="657"/>
      <c r="J130" s="657"/>
      <c r="K130" s="657"/>
      <c r="L130" s="657"/>
      <c r="M130" s="657"/>
    </row>
    <row r="131" spans="1:13">
      <c r="A131" s="2213"/>
      <c r="B131" s="2278"/>
      <c r="C131" s="2198" t="s">
        <v>307</v>
      </c>
      <c r="D131" s="2199"/>
      <c r="E131" s="2199"/>
      <c r="F131" s="2200"/>
      <c r="G131" s="757">
        <f>G121+G119+G120+G122</f>
        <v>17.520000000000003</v>
      </c>
      <c r="H131" s="657"/>
      <c r="I131" s="657"/>
      <c r="J131" s="657"/>
      <c r="K131" s="657"/>
      <c r="L131" s="657"/>
      <c r="M131" s="657"/>
    </row>
    <row r="132" spans="1:13" ht="15.75" thickBot="1">
      <c r="A132" s="2268"/>
      <c r="B132" s="2269"/>
      <c r="C132" s="2270" t="s">
        <v>340</v>
      </c>
      <c r="D132" s="2271"/>
      <c r="E132" s="2271"/>
      <c r="F132" s="2272"/>
      <c r="G132" s="758">
        <f>G125+G127+G129+G131</f>
        <v>555.49</v>
      </c>
      <c r="H132" s="657"/>
      <c r="I132" s="657"/>
      <c r="J132" s="657"/>
      <c r="K132" s="657"/>
      <c r="L132" s="657"/>
      <c r="M132" s="657"/>
    </row>
    <row r="133" spans="1:13" ht="15.75" thickBot="1">
      <c r="A133" s="722"/>
      <c r="B133" s="759"/>
      <c r="C133" s="760"/>
      <c r="D133" s="760"/>
      <c r="E133" s="760"/>
      <c r="F133" s="760"/>
      <c r="G133" s="761"/>
      <c r="H133" s="657"/>
      <c r="I133" s="657"/>
      <c r="J133" s="657"/>
      <c r="K133" s="657"/>
      <c r="L133" s="657"/>
      <c r="M133" s="657"/>
    </row>
    <row r="134" spans="1:13" ht="15.75" thickBot="1">
      <c r="A134" s="671" t="s">
        <v>684</v>
      </c>
      <c r="B134" s="2180" t="s">
        <v>685</v>
      </c>
      <c r="C134" s="2181"/>
      <c r="D134" s="2181"/>
      <c r="E134" s="2181"/>
      <c r="F134" s="2181"/>
      <c r="G134" s="2182"/>
      <c r="H134" s="657"/>
      <c r="I134" s="672" t="s">
        <v>457</v>
      </c>
      <c r="J134" s="657"/>
      <c r="K134" s="657"/>
      <c r="L134" s="657"/>
      <c r="M134" s="657"/>
    </row>
    <row r="135" spans="1:13">
      <c r="A135" s="2248" t="s">
        <v>303</v>
      </c>
      <c r="B135" s="2249"/>
      <c r="C135" s="2249"/>
      <c r="D135" s="2249"/>
      <c r="E135" s="2249"/>
      <c r="F135" s="2249"/>
      <c r="G135" s="2250"/>
      <c r="H135" s="657"/>
      <c r="I135" s="657"/>
      <c r="J135" s="657"/>
      <c r="K135" s="657"/>
      <c r="L135" s="657"/>
      <c r="M135" s="657"/>
    </row>
    <row r="136" spans="1:13">
      <c r="A136" s="2241" t="s">
        <v>343</v>
      </c>
      <c r="B136" s="2228"/>
      <c r="C136" s="2228"/>
      <c r="D136" s="2228"/>
      <c r="E136" s="2228"/>
      <c r="F136" s="2228"/>
      <c r="G136" s="2229"/>
      <c r="H136" s="657"/>
      <c r="I136" s="657"/>
      <c r="J136" s="657"/>
      <c r="K136" s="657"/>
      <c r="L136" s="657"/>
      <c r="M136" s="657"/>
    </row>
    <row r="137" spans="1:13" ht="24">
      <c r="A137" s="686" t="s">
        <v>322</v>
      </c>
      <c r="B137" s="687" t="s">
        <v>686</v>
      </c>
      <c r="C137" s="687" t="s">
        <v>687</v>
      </c>
      <c r="D137" s="687" t="s">
        <v>382</v>
      </c>
      <c r="E137" s="2189" t="s">
        <v>306</v>
      </c>
      <c r="F137" s="2190"/>
      <c r="G137" s="2191"/>
      <c r="H137" s="657"/>
      <c r="I137" s="657"/>
      <c r="J137" s="657"/>
      <c r="K137" s="657"/>
      <c r="L137" s="657"/>
      <c r="M137" s="657"/>
    </row>
    <row r="138" spans="1:13">
      <c r="A138" s="2251">
        <v>4.5999999999999996</v>
      </c>
      <c r="B138" s="2254">
        <v>2.7</v>
      </c>
      <c r="C138" s="2257" t="s">
        <v>688</v>
      </c>
      <c r="D138" s="2254">
        <f>A138*B138-(0.9*2.1)</f>
        <v>10.53</v>
      </c>
      <c r="E138" s="2260"/>
      <c r="F138" s="2261"/>
      <c r="G138" s="2262"/>
      <c r="H138" s="657"/>
      <c r="I138" s="657"/>
      <c r="J138" s="657"/>
      <c r="K138" s="657"/>
      <c r="L138" s="657"/>
      <c r="M138" s="657"/>
    </row>
    <row r="139" spans="1:13">
      <c r="A139" s="2252"/>
      <c r="B139" s="2255"/>
      <c r="C139" s="2258"/>
      <c r="D139" s="2255"/>
      <c r="E139" s="2263"/>
      <c r="F139" s="2264"/>
      <c r="G139" s="2265"/>
      <c r="H139" s="657"/>
      <c r="I139" s="657"/>
      <c r="J139" s="657"/>
      <c r="K139" s="657"/>
      <c r="L139" s="657"/>
      <c r="M139" s="657"/>
    </row>
    <row r="140" spans="1:13">
      <c r="A140" s="2252"/>
      <c r="B140" s="2255"/>
      <c r="C140" s="2258"/>
      <c r="D140" s="2255"/>
      <c r="E140" s="2263"/>
      <c r="F140" s="2264"/>
      <c r="G140" s="2265"/>
      <c r="H140" s="657"/>
      <c r="I140" s="657"/>
      <c r="J140" s="657"/>
      <c r="K140" s="657"/>
      <c r="L140" s="657"/>
      <c r="M140" s="657"/>
    </row>
    <row r="141" spans="1:13" ht="30.75" customHeight="1">
      <c r="A141" s="2253"/>
      <c r="B141" s="2256"/>
      <c r="C141" s="2259"/>
      <c r="D141" s="2256"/>
      <c r="E141" s="2263"/>
      <c r="F141" s="2264"/>
      <c r="G141" s="2265"/>
      <c r="H141" s="657"/>
      <c r="I141" s="657"/>
      <c r="J141" s="657"/>
      <c r="K141" s="657"/>
      <c r="L141" s="657"/>
      <c r="M141" s="657"/>
    </row>
    <row r="142" spans="1:13" ht="15.75" thickBot="1">
      <c r="A142" s="2243"/>
      <c r="B142" s="2244"/>
      <c r="C142" s="762" t="s">
        <v>307</v>
      </c>
      <c r="D142" s="763">
        <f>SUM(D138:D141)</f>
        <v>10.53</v>
      </c>
      <c r="E142" s="2245"/>
      <c r="F142" s="2246"/>
      <c r="G142" s="2247"/>
      <c r="H142" s="657"/>
      <c r="I142" s="657"/>
      <c r="J142" s="657"/>
      <c r="K142" s="657"/>
      <c r="L142" s="657"/>
      <c r="M142" s="657"/>
    </row>
    <row r="143" spans="1:13" ht="15.75" thickBot="1">
      <c r="A143" s="764"/>
      <c r="B143" s="765"/>
      <c r="C143" s="766"/>
      <c r="D143" s="767"/>
      <c r="E143" s="768"/>
      <c r="F143" s="768"/>
      <c r="G143" s="769"/>
      <c r="H143" s="657"/>
      <c r="I143" s="657"/>
      <c r="J143" s="657"/>
      <c r="K143" s="657"/>
      <c r="L143" s="657"/>
      <c r="M143" s="657"/>
    </row>
    <row r="144" spans="1:13" ht="15.75" thickBot="1">
      <c r="A144" s="671" t="s">
        <v>341</v>
      </c>
      <c r="B144" s="2180" t="s">
        <v>342</v>
      </c>
      <c r="C144" s="2181"/>
      <c r="D144" s="2181"/>
      <c r="E144" s="2181"/>
      <c r="F144" s="2181"/>
      <c r="G144" s="2182"/>
      <c r="H144" s="657"/>
      <c r="I144" s="672" t="s">
        <v>457</v>
      </c>
      <c r="J144" s="657"/>
      <c r="K144" s="657"/>
      <c r="L144" s="657"/>
      <c r="M144" s="657"/>
    </row>
    <row r="145" spans="1:13">
      <c r="A145" s="2248" t="s">
        <v>303</v>
      </c>
      <c r="B145" s="2249"/>
      <c r="C145" s="2249"/>
      <c r="D145" s="2249"/>
      <c r="E145" s="2249"/>
      <c r="F145" s="2249"/>
      <c r="G145" s="2250"/>
      <c r="H145" s="657"/>
      <c r="I145" s="657"/>
      <c r="J145" s="657"/>
      <c r="K145" s="657"/>
      <c r="L145" s="657"/>
      <c r="M145" s="657"/>
    </row>
    <row r="146" spans="1:13">
      <c r="A146" s="2241" t="s">
        <v>343</v>
      </c>
      <c r="B146" s="2228"/>
      <c r="C146" s="2228"/>
      <c r="D146" s="2228"/>
      <c r="E146" s="2228"/>
      <c r="F146" s="2228"/>
      <c r="G146" s="2229"/>
      <c r="H146" s="657"/>
      <c r="I146" s="657"/>
      <c r="J146" s="657"/>
      <c r="K146" s="657"/>
      <c r="L146" s="657"/>
      <c r="M146" s="657"/>
    </row>
    <row r="147" spans="1:13" ht="24">
      <c r="A147" s="686" t="s">
        <v>344</v>
      </c>
      <c r="B147" s="687" t="s">
        <v>345</v>
      </c>
      <c r="C147" s="687" t="s">
        <v>346</v>
      </c>
      <c r="D147" s="687" t="s">
        <v>347</v>
      </c>
      <c r="E147" s="2189" t="s">
        <v>306</v>
      </c>
      <c r="F147" s="2190"/>
      <c r="G147" s="2191"/>
      <c r="H147" s="657"/>
      <c r="I147" s="657"/>
      <c r="J147" s="657"/>
      <c r="K147" s="657"/>
      <c r="L147" s="657"/>
      <c r="M147" s="657"/>
    </row>
    <row r="148" spans="1:13">
      <c r="A148" s="770" t="s">
        <v>689</v>
      </c>
      <c r="B148" s="690">
        <v>1.1000000000000001</v>
      </c>
      <c r="C148" s="771" t="s">
        <v>348</v>
      </c>
      <c r="D148" s="772">
        <f>(1.1+0.6)*11</f>
        <v>18.700000000000003</v>
      </c>
      <c r="E148" s="773"/>
      <c r="F148" s="774"/>
      <c r="G148" s="775"/>
      <c r="H148" s="657"/>
      <c r="I148" s="657"/>
      <c r="J148" s="657"/>
      <c r="K148" s="657"/>
      <c r="L148" s="657"/>
      <c r="M148" s="657"/>
    </row>
    <row r="149" spans="1:13">
      <c r="A149" s="770" t="s">
        <v>690</v>
      </c>
      <c r="B149" s="690">
        <v>2.2999999999999998</v>
      </c>
      <c r="C149" s="771" t="s">
        <v>348</v>
      </c>
      <c r="D149" s="772">
        <f>(2.3+0.6)*6</f>
        <v>17.399999999999999</v>
      </c>
      <c r="E149" s="2263"/>
      <c r="F149" s="2264"/>
      <c r="G149" s="2265"/>
      <c r="H149" s="657"/>
      <c r="I149" s="703">
        <f>D149+D150</f>
        <v>23</v>
      </c>
      <c r="J149" s="657"/>
      <c r="K149" s="657"/>
      <c r="L149" s="657"/>
      <c r="M149" s="657"/>
    </row>
    <row r="150" spans="1:13">
      <c r="A150" s="770" t="s">
        <v>691</v>
      </c>
      <c r="B150" s="690">
        <v>2.2000000000000002</v>
      </c>
      <c r="C150" s="771" t="s">
        <v>348</v>
      </c>
      <c r="D150" s="772">
        <f>(2.2+0.6)*2</f>
        <v>5.6000000000000005</v>
      </c>
      <c r="E150" s="2263"/>
      <c r="F150" s="2264"/>
      <c r="G150" s="2265"/>
      <c r="H150" s="657"/>
      <c r="I150" s="657"/>
      <c r="J150" s="657"/>
      <c r="K150" s="657"/>
      <c r="L150" s="657"/>
      <c r="M150" s="657"/>
    </row>
    <row r="151" spans="1:13">
      <c r="A151" s="770" t="s">
        <v>692</v>
      </c>
      <c r="B151" s="690">
        <v>1.2</v>
      </c>
      <c r="C151" s="771" t="s">
        <v>348</v>
      </c>
      <c r="D151" s="772">
        <f>(2+0.6)*6</f>
        <v>15.600000000000001</v>
      </c>
      <c r="E151" s="2263"/>
      <c r="F151" s="2264"/>
      <c r="G151" s="2265"/>
      <c r="H151" s="657"/>
      <c r="I151" s="657"/>
      <c r="J151" s="657"/>
      <c r="K151" s="657"/>
      <c r="L151" s="657"/>
      <c r="M151" s="657"/>
    </row>
    <row r="152" spans="1:13" ht="15.75" thickBot="1">
      <c r="A152" s="2243"/>
      <c r="B152" s="2244"/>
      <c r="C152" s="762" t="s">
        <v>307</v>
      </c>
      <c r="D152" s="763">
        <f>SUM(D148:D151)</f>
        <v>57.300000000000004</v>
      </c>
      <c r="E152" s="2245"/>
      <c r="F152" s="2246"/>
      <c r="G152" s="2247"/>
      <c r="H152" s="657"/>
      <c r="I152" s="703">
        <f>D152-D150-D149</f>
        <v>34.300000000000004</v>
      </c>
      <c r="J152" s="657"/>
      <c r="K152" s="657"/>
      <c r="L152" s="657"/>
      <c r="M152" s="657"/>
    </row>
    <row r="153" spans="1:13" ht="15.75" thickBot="1">
      <c r="A153" s="776"/>
      <c r="B153" s="777"/>
      <c r="C153" s="778"/>
      <c r="D153" s="778"/>
      <c r="E153" s="778"/>
      <c r="F153" s="778"/>
      <c r="G153" s="779"/>
      <c r="H153" s="657"/>
      <c r="I153" s="657"/>
      <c r="J153" s="657"/>
      <c r="K153" s="657"/>
      <c r="L153" s="657"/>
      <c r="M153" s="657"/>
    </row>
    <row r="154" spans="1:13" ht="15.75" thickBot="1">
      <c r="A154" s="671" t="s">
        <v>349</v>
      </c>
      <c r="B154" s="2180" t="s">
        <v>350</v>
      </c>
      <c r="C154" s="2181"/>
      <c r="D154" s="2181"/>
      <c r="E154" s="2181"/>
      <c r="F154" s="2181"/>
      <c r="G154" s="2182"/>
      <c r="H154" s="657"/>
      <c r="I154" s="672" t="s">
        <v>457</v>
      </c>
      <c r="J154" s="657"/>
      <c r="K154" s="657"/>
      <c r="L154" s="657"/>
      <c r="M154" s="657"/>
    </row>
    <row r="155" spans="1:13">
      <c r="A155" s="2192" t="s">
        <v>303</v>
      </c>
      <c r="B155" s="2193"/>
      <c r="C155" s="2193"/>
      <c r="D155" s="2193"/>
      <c r="E155" s="2193"/>
      <c r="F155" s="2193"/>
      <c r="G155" s="2194"/>
      <c r="H155" s="657"/>
      <c r="I155" s="657"/>
      <c r="J155" s="657"/>
      <c r="K155" s="657"/>
      <c r="L155" s="657"/>
      <c r="M155" s="657"/>
    </row>
    <row r="156" spans="1:13">
      <c r="A156" s="2241" t="s">
        <v>343</v>
      </c>
      <c r="B156" s="2228"/>
      <c r="C156" s="2228"/>
      <c r="D156" s="2228"/>
      <c r="E156" s="2228"/>
      <c r="F156" s="2228"/>
      <c r="G156" s="2229"/>
      <c r="H156" s="657"/>
      <c r="I156" s="657"/>
      <c r="J156" s="657"/>
      <c r="K156" s="657"/>
      <c r="L156" s="657"/>
      <c r="M156" s="657"/>
    </row>
    <row r="157" spans="1:13" ht="24">
      <c r="A157" s="686" t="s">
        <v>344</v>
      </c>
      <c r="B157" s="687" t="s">
        <v>345</v>
      </c>
      <c r="C157" s="687" t="s">
        <v>346</v>
      </c>
      <c r="D157" s="687" t="s">
        <v>347</v>
      </c>
      <c r="E157" s="2189" t="s">
        <v>306</v>
      </c>
      <c r="F157" s="2190"/>
      <c r="G157" s="2191"/>
      <c r="H157" s="657"/>
      <c r="I157" s="657"/>
      <c r="J157" s="657"/>
      <c r="K157" s="657"/>
      <c r="L157" s="657"/>
      <c r="M157" s="657"/>
    </row>
    <row r="158" spans="1:13">
      <c r="A158" s="770" t="s">
        <v>693</v>
      </c>
      <c r="B158" s="690">
        <v>1.6</v>
      </c>
      <c r="C158" s="771" t="s">
        <v>348</v>
      </c>
      <c r="D158" s="772">
        <f>(1.6*2.1)*1</f>
        <v>3.3600000000000003</v>
      </c>
      <c r="E158" s="2263"/>
      <c r="F158" s="2264"/>
      <c r="G158" s="2265"/>
      <c r="H158" s="657"/>
      <c r="I158" s="657"/>
      <c r="J158" s="657"/>
      <c r="K158" s="657"/>
      <c r="L158" s="657"/>
      <c r="M158" s="657"/>
    </row>
    <row r="159" spans="1:13">
      <c r="A159" s="770" t="s">
        <v>694</v>
      </c>
      <c r="B159" s="690">
        <v>1.3</v>
      </c>
      <c r="C159" s="771" t="s">
        <v>348</v>
      </c>
      <c r="D159" s="772">
        <f>1.3*2.1*1</f>
        <v>2.7300000000000004</v>
      </c>
      <c r="E159" s="2263"/>
      <c r="F159" s="2264"/>
      <c r="G159" s="2265"/>
      <c r="H159" s="657"/>
      <c r="I159" s="657"/>
      <c r="J159" s="657"/>
      <c r="K159" s="657"/>
      <c r="L159" s="657"/>
      <c r="M159" s="657"/>
    </row>
    <row r="160" spans="1:13">
      <c r="A160" s="770" t="s">
        <v>695</v>
      </c>
      <c r="B160" s="690">
        <v>0.8</v>
      </c>
      <c r="C160" s="771" t="s">
        <v>348</v>
      </c>
      <c r="D160" s="772">
        <f>0.8*2.1*3</f>
        <v>5.0400000000000009</v>
      </c>
      <c r="E160" s="2263"/>
      <c r="F160" s="2264"/>
      <c r="G160" s="2265"/>
      <c r="H160" s="657"/>
      <c r="I160" s="657"/>
      <c r="J160" s="657"/>
      <c r="K160" s="657"/>
      <c r="L160" s="657"/>
      <c r="M160" s="657"/>
    </row>
    <row r="161" spans="1:13">
      <c r="A161" s="770" t="s">
        <v>696</v>
      </c>
      <c r="B161" s="690">
        <v>1</v>
      </c>
      <c r="C161" s="771" t="s">
        <v>348</v>
      </c>
      <c r="D161" s="772">
        <f>1*2.1*1</f>
        <v>2.1</v>
      </c>
      <c r="E161" s="2263"/>
      <c r="F161" s="2264"/>
      <c r="G161" s="2265"/>
      <c r="H161" s="657"/>
      <c r="I161" s="657"/>
      <c r="J161" s="657"/>
      <c r="K161" s="657"/>
      <c r="L161" s="657"/>
      <c r="M161" s="657"/>
    </row>
    <row r="162" spans="1:13">
      <c r="A162" s="770" t="s">
        <v>697</v>
      </c>
      <c r="B162" s="690">
        <v>1.3</v>
      </c>
      <c r="C162" s="771" t="s">
        <v>348</v>
      </c>
      <c r="D162" s="772">
        <f>(1.3*2.1)*1</f>
        <v>2.7300000000000004</v>
      </c>
      <c r="E162" s="2263"/>
      <c r="F162" s="2264"/>
      <c r="G162" s="2265"/>
      <c r="H162" s="657"/>
      <c r="I162" s="657"/>
      <c r="J162" s="657"/>
      <c r="K162" s="657"/>
      <c r="L162" s="657"/>
      <c r="M162" s="657"/>
    </row>
    <row r="163" spans="1:13">
      <c r="A163" s="770" t="s">
        <v>698</v>
      </c>
      <c r="B163" s="690">
        <v>0.8</v>
      </c>
      <c r="C163" s="771" t="s">
        <v>348</v>
      </c>
      <c r="D163" s="772">
        <f>(0.8+2.1)*1</f>
        <v>2.9000000000000004</v>
      </c>
      <c r="E163" s="2263"/>
      <c r="F163" s="2264"/>
      <c r="G163" s="2265"/>
      <c r="H163" s="657"/>
      <c r="I163" s="657"/>
      <c r="J163" s="657"/>
      <c r="K163" s="657"/>
      <c r="L163" s="657"/>
      <c r="M163" s="657"/>
    </row>
    <row r="164" spans="1:13">
      <c r="A164" s="780" t="s">
        <v>699</v>
      </c>
      <c r="B164" s="690">
        <v>0.8</v>
      </c>
      <c r="C164" s="771" t="s">
        <v>348</v>
      </c>
      <c r="D164" s="772">
        <f>(0.8+2.1)*5</f>
        <v>14.500000000000002</v>
      </c>
      <c r="E164" s="781"/>
      <c r="F164" s="716"/>
      <c r="G164" s="717"/>
      <c r="H164" s="657"/>
      <c r="I164" s="657"/>
      <c r="J164" s="657"/>
      <c r="K164" s="657"/>
      <c r="L164" s="657"/>
      <c r="M164" s="657"/>
    </row>
    <row r="165" spans="1:13" ht="15.75" thickBot="1">
      <c r="A165" s="2243"/>
      <c r="B165" s="2244"/>
      <c r="C165" s="762" t="s">
        <v>307</v>
      </c>
      <c r="D165" s="763">
        <f>SUM(D158:D164)</f>
        <v>33.360000000000007</v>
      </c>
      <c r="E165" s="2245"/>
      <c r="F165" s="2246"/>
      <c r="G165" s="2247"/>
      <c r="H165" s="657"/>
      <c r="I165" s="703">
        <f>D165-D158</f>
        <v>30.000000000000007</v>
      </c>
      <c r="J165" s="657"/>
      <c r="K165" s="657"/>
      <c r="L165" s="657"/>
      <c r="M165" s="657"/>
    </row>
    <row r="166" spans="1:13" ht="15.75" thickBot="1">
      <c r="A166" s="722"/>
      <c r="B166" s="759"/>
      <c r="C166" s="760"/>
      <c r="D166" s="760"/>
      <c r="E166" s="760"/>
      <c r="F166" s="760"/>
      <c r="G166" s="761"/>
      <c r="H166" s="657"/>
      <c r="I166" s="657"/>
      <c r="J166" s="657"/>
      <c r="K166" s="657"/>
      <c r="L166" s="657"/>
      <c r="M166" s="657"/>
    </row>
    <row r="167" spans="1:13" ht="15.75" thickBot="1">
      <c r="A167" s="671" t="s">
        <v>351</v>
      </c>
      <c r="B167" s="2180" t="s">
        <v>352</v>
      </c>
      <c r="C167" s="2181"/>
      <c r="D167" s="2181"/>
      <c r="E167" s="2181"/>
      <c r="F167" s="2181"/>
      <c r="G167" s="2182"/>
      <c r="H167" s="657"/>
      <c r="I167" s="672" t="s">
        <v>457</v>
      </c>
      <c r="J167" s="657"/>
      <c r="K167" s="657"/>
      <c r="L167" s="657"/>
      <c r="M167" s="657"/>
    </row>
    <row r="168" spans="1:13">
      <c r="A168" s="2192" t="s">
        <v>303</v>
      </c>
      <c r="B168" s="2193"/>
      <c r="C168" s="2193"/>
      <c r="D168" s="2193"/>
      <c r="E168" s="2193"/>
      <c r="F168" s="2193"/>
      <c r="G168" s="2194"/>
      <c r="H168" s="657"/>
      <c r="I168" s="657"/>
      <c r="J168" s="657"/>
      <c r="K168" s="657"/>
      <c r="L168" s="657"/>
      <c r="M168" s="657"/>
    </row>
    <row r="169" spans="1:13">
      <c r="A169" s="2241" t="s">
        <v>343</v>
      </c>
      <c r="B169" s="2228"/>
      <c r="C169" s="2228"/>
      <c r="D169" s="2228"/>
      <c r="E169" s="2228"/>
      <c r="F169" s="2228"/>
      <c r="G169" s="2229"/>
      <c r="H169" s="657"/>
      <c r="I169" s="657"/>
      <c r="J169" s="657"/>
      <c r="K169" s="657"/>
      <c r="L169" s="657"/>
      <c r="M169" s="657"/>
    </row>
    <row r="170" spans="1:13" ht="24">
      <c r="A170" s="686" t="s">
        <v>344</v>
      </c>
      <c r="B170" s="687" t="s">
        <v>345</v>
      </c>
      <c r="C170" s="687" t="s">
        <v>346</v>
      </c>
      <c r="D170" s="687" t="s">
        <v>347</v>
      </c>
      <c r="E170" s="2189" t="s">
        <v>306</v>
      </c>
      <c r="F170" s="2190"/>
      <c r="G170" s="2191"/>
      <c r="H170" s="657"/>
      <c r="I170" s="657"/>
      <c r="J170" s="657"/>
      <c r="K170" s="657"/>
      <c r="L170" s="657"/>
      <c r="M170" s="657"/>
    </row>
    <row r="171" spans="1:13">
      <c r="A171" s="770" t="s">
        <v>689</v>
      </c>
      <c r="B171" s="690">
        <v>1.1000000000000001</v>
      </c>
      <c r="C171" s="771" t="s">
        <v>348</v>
      </c>
      <c r="D171" s="772">
        <f>(1.1+0.6)*11</f>
        <v>18.700000000000003</v>
      </c>
      <c r="E171" s="773"/>
      <c r="F171" s="774"/>
      <c r="G171" s="775"/>
      <c r="H171" s="657"/>
      <c r="I171" s="657"/>
      <c r="J171" s="657"/>
      <c r="K171" s="657"/>
      <c r="L171" s="657"/>
      <c r="M171" s="657"/>
    </row>
    <row r="172" spans="1:13">
      <c r="A172" s="770" t="s">
        <v>690</v>
      </c>
      <c r="B172" s="690">
        <v>2.2999999999999998</v>
      </c>
      <c r="C172" s="771" t="s">
        <v>348</v>
      </c>
      <c r="D172" s="772">
        <f>(2.3+0.6)*6</f>
        <v>17.399999999999999</v>
      </c>
      <c r="E172" s="2263"/>
      <c r="F172" s="2264"/>
      <c r="G172" s="2265"/>
      <c r="H172" s="657"/>
      <c r="I172" s="657"/>
      <c r="J172" s="657"/>
      <c r="K172" s="657"/>
      <c r="L172" s="657"/>
      <c r="M172" s="657"/>
    </row>
    <row r="173" spans="1:13">
      <c r="A173" s="770" t="s">
        <v>691</v>
      </c>
      <c r="B173" s="690">
        <v>2.2000000000000002</v>
      </c>
      <c r="C173" s="771" t="s">
        <v>348</v>
      </c>
      <c r="D173" s="772">
        <f>(2.2+0.6)*2</f>
        <v>5.6000000000000005</v>
      </c>
      <c r="E173" s="2263"/>
      <c r="F173" s="2264"/>
      <c r="G173" s="2265"/>
      <c r="H173" s="657"/>
      <c r="I173" s="657"/>
      <c r="J173" s="657"/>
      <c r="K173" s="657"/>
      <c r="L173" s="657"/>
      <c r="M173" s="657"/>
    </row>
    <row r="174" spans="1:13">
      <c r="A174" s="770" t="s">
        <v>692</v>
      </c>
      <c r="B174" s="690">
        <v>1.2</v>
      </c>
      <c r="C174" s="771" t="s">
        <v>348</v>
      </c>
      <c r="D174" s="772">
        <f>(2+0.6)*6</f>
        <v>15.600000000000001</v>
      </c>
      <c r="E174" s="2263"/>
      <c r="F174" s="2264"/>
      <c r="G174" s="2265"/>
      <c r="H174" s="657"/>
      <c r="I174" s="657"/>
      <c r="J174" s="657"/>
      <c r="K174" s="657"/>
      <c r="L174" s="657"/>
      <c r="M174" s="657"/>
    </row>
    <row r="175" spans="1:13" ht="15.75" thickBot="1">
      <c r="A175" s="2243"/>
      <c r="B175" s="2244"/>
      <c r="C175" s="762" t="s">
        <v>307</v>
      </c>
      <c r="D175" s="763">
        <f>SUM(D171:D174)</f>
        <v>57.300000000000004</v>
      </c>
      <c r="E175" s="2245"/>
      <c r="F175" s="2246"/>
      <c r="G175" s="2247"/>
      <c r="H175" s="657"/>
      <c r="I175" s="703">
        <f>D175-D173-D172</f>
        <v>34.300000000000004</v>
      </c>
      <c r="J175" s="657"/>
      <c r="K175" s="657"/>
      <c r="L175" s="657"/>
      <c r="M175" s="657"/>
    </row>
    <row r="176" spans="1:13" ht="15.75" thickBot="1">
      <c r="A176" s="776"/>
      <c r="B176" s="777"/>
      <c r="C176" s="778"/>
      <c r="D176" s="778"/>
      <c r="E176" s="778"/>
      <c r="F176" s="778"/>
      <c r="G176" s="779"/>
      <c r="H176" s="657"/>
      <c r="I176" s="657"/>
      <c r="J176" s="657"/>
      <c r="K176" s="657"/>
      <c r="L176" s="657"/>
      <c r="M176" s="657"/>
    </row>
    <row r="177" spans="1:13" ht="15.75" thickBot="1">
      <c r="A177" s="671" t="s">
        <v>353</v>
      </c>
      <c r="B177" s="2180" t="s">
        <v>354</v>
      </c>
      <c r="C177" s="2181"/>
      <c r="D177" s="2181"/>
      <c r="E177" s="2181"/>
      <c r="F177" s="2181"/>
      <c r="G177" s="2182"/>
      <c r="H177" s="657"/>
      <c r="I177" s="657"/>
      <c r="J177" s="657"/>
      <c r="K177" s="657"/>
      <c r="L177" s="657"/>
      <c r="M177" s="657"/>
    </row>
    <row r="178" spans="1:13" ht="15.75" thickBot="1">
      <c r="A178" s="671" t="s">
        <v>44</v>
      </c>
      <c r="B178" s="2180" t="s">
        <v>700</v>
      </c>
      <c r="C178" s="2181"/>
      <c r="D178" s="2181"/>
      <c r="E178" s="2181"/>
      <c r="F178" s="2181"/>
      <c r="G178" s="2182"/>
      <c r="H178" s="657"/>
      <c r="I178" s="782"/>
      <c r="J178" s="657"/>
      <c r="K178" s="657"/>
      <c r="L178" s="657"/>
      <c r="M178" s="657"/>
    </row>
    <row r="179" spans="1:13">
      <c r="A179" s="2213" t="s">
        <v>303</v>
      </c>
      <c r="B179" s="2214"/>
      <c r="C179" s="2214"/>
      <c r="D179" s="2214"/>
      <c r="E179" s="2214"/>
      <c r="F179" s="2214"/>
      <c r="G179" s="2215"/>
      <c r="H179" s="657"/>
      <c r="I179" s="657"/>
      <c r="J179" s="657"/>
      <c r="K179" s="657"/>
      <c r="L179" s="657"/>
      <c r="M179" s="657"/>
    </row>
    <row r="180" spans="1:13">
      <c r="A180" s="2291" t="s">
        <v>357</v>
      </c>
      <c r="B180" s="2292"/>
      <c r="C180" s="2292"/>
      <c r="D180" s="2292"/>
      <c r="E180" s="2292"/>
      <c r="F180" s="2292"/>
      <c r="G180" s="2293"/>
      <c r="H180" s="657"/>
      <c r="I180" s="657"/>
      <c r="J180" s="657"/>
      <c r="K180" s="657"/>
      <c r="L180" s="657"/>
      <c r="M180" s="657"/>
    </row>
    <row r="181" spans="1:13">
      <c r="A181" s="2273" t="s">
        <v>308</v>
      </c>
      <c r="B181" s="2242"/>
      <c r="C181" s="2189" t="s">
        <v>358</v>
      </c>
      <c r="D181" s="2242"/>
      <c r="E181" s="2189" t="s">
        <v>306</v>
      </c>
      <c r="F181" s="2190"/>
      <c r="G181" s="2191"/>
      <c r="H181" s="657"/>
      <c r="I181" s="657"/>
      <c r="J181" s="657"/>
      <c r="K181" s="657"/>
      <c r="L181" s="657"/>
      <c r="M181" s="657"/>
    </row>
    <row r="182" spans="1:13" ht="21.75" customHeight="1" thickBot="1">
      <c r="A182" s="2285" t="s">
        <v>701</v>
      </c>
      <c r="B182" s="2286"/>
      <c r="C182" s="2287">
        <v>246.01</v>
      </c>
      <c r="D182" s="2288"/>
      <c r="E182" s="2287" t="s">
        <v>356</v>
      </c>
      <c r="F182" s="2289"/>
      <c r="G182" s="2290"/>
      <c r="H182" s="657"/>
      <c r="I182" s="657"/>
      <c r="J182" s="657"/>
      <c r="K182" s="657"/>
      <c r="L182" s="657"/>
      <c r="M182" s="657"/>
    </row>
    <row r="183" spans="1:13" ht="15.75" thickBot="1">
      <c r="A183" s="764"/>
      <c r="B183" s="765"/>
      <c r="C183" s="1049"/>
      <c r="D183" s="1049"/>
      <c r="E183" s="1049"/>
      <c r="F183" s="1049"/>
      <c r="G183" s="1050"/>
      <c r="H183" s="657"/>
      <c r="I183" s="657"/>
      <c r="J183" s="657"/>
      <c r="K183" s="657"/>
      <c r="L183" s="657"/>
      <c r="M183" s="657"/>
    </row>
    <row r="184" spans="1:13" ht="15.75" thickBot="1">
      <c r="A184" s="671" t="s">
        <v>72</v>
      </c>
      <c r="B184" s="2180" t="s">
        <v>702</v>
      </c>
      <c r="C184" s="2181"/>
      <c r="D184" s="2181"/>
      <c r="E184" s="2181"/>
      <c r="F184" s="2181"/>
      <c r="G184" s="2182"/>
      <c r="H184" s="657"/>
      <c r="I184" s="672" t="s">
        <v>457</v>
      </c>
      <c r="J184" s="657"/>
      <c r="K184" s="657"/>
      <c r="L184" s="657"/>
      <c r="M184" s="657"/>
    </row>
    <row r="185" spans="1:13">
      <c r="A185" s="2213" t="s">
        <v>303</v>
      </c>
      <c r="B185" s="2214"/>
      <c r="C185" s="2214"/>
      <c r="D185" s="2214"/>
      <c r="E185" s="2214"/>
      <c r="F185" s="2214"/>
      <c r="G185" s="2215"/>
      <c r="H185" s="657"/>
      <c r="I185" s="657"/>
      <c r="J185" s="657"/>
      <c r="K185" s="657"/>
      <c r="L185" s="657"/>
      <c r="M185" s="657"/>
    </row>
    <row r="186" spans="1:13">
      <c r="A186" s="2291" t="s">
        <v>357</v>
      </c>
      <c r="B186" s="2292"/>
      <c r="C186" s="2292"/>
      <c r="D186" s="2292"/>
      <c r="E186" s="2292"/>
      <c r="F186" s="2292"/>
      <c r="G186" s="2293"/>
      <c r="H186" s="657"/>
      <c r="I186" s="657"/>
      <c r="J186" s="657"/>
      <c r="K186" s="657"/>
      <c r="L186" s="657"/>
      <c r="M186" s="657"/>
    </row>
    <row r="187" spans="1:13">
      <c r="A187" s="2273" t="s">
        <v>308</v>
      </c>
      <c r="B187" s="2242"/>
      <c r="C187" s="2189" t="s">
        <v>358</v>
      </c>
      <c r="D187" s="2242"/>
      <c r="E187" s="2189" t="s">
        <v>306</v>
      </c>
      <c r="F187" s="2190"/>
      <c r="G187" s="2191"/>
      <c r="H187" s="657"/>
      <c r="I187" s="657"/>
      <c r="J187" s="657"/>
      <c r="K187" s="657"/>
      <c r="L187" s="657"/>
      <c r="M187" s="657"/>
    </row>
    <row r="188" spans="1:13" ht="24" customHeight="1">
      <c r="A188" s="2192" t="s">
        <v>701</v>
      </c>
      <c r="B188" s="2279"/>
      <c r="C188" s="2280">
        <f>C182</f>
        <v>246.01</v>
      </c>
      <c r="D188" s="2281"/>
      <c r="E188" s="2282" t="s">
        <v>356</v>
      </c>
      <c r="F188" s="2283"/>
      <c r="G188" s="2284"/>
      <c r="H188" s="657"/>
      <c r="I188" s="657"/>
      <c r="J188" s="657"/>
      <c r="K188" s="657"/>
      <c r="L188" s="657"/>
      <c r="M188" s="657"/>
    </row>
    <row r="189" spans="1:13" ht="15.75" thickBot="1">
      <c r="A189" s="2298"/>
      <c r="B189" s="2246"/>
      <c r="C189" s="2246"/>
      <c r="D189" s="2246"/>
      <c r="E189" s="2246"/>
      <c r="F189" s="2246"/>
      <c r="G189" s="2247"/>
      <c r="H189" s="657"/>
      <c r="I189" s="657"/>
      <c r="J189" s="657"/>
      <c r="K189" s="657"/>
      <c r="L189" s="657"/>
      <c r="M189" s="657"/>
    </row>
    <row r="190" spans="1:13" ht="15.75" thickBot="1">
      <c r="A190" s="783"/>
      <c r="B190" s="715"/>
      <c r="C190" s="715"/>
      <c r="D190" s="715"/>
      <c r="E190" s="715"/>
      <c r="F190" s="715"/>
      <c r="G190" s="761"/>
      <c r="H190" s="657"/>
      <c r="I190" s="657"/>
      <c r="J190" s="657"/>
      <c r="K190" s="657"/>
      <c r="L190" s="657"/>
      <c r="M190" s="657"/>
    </row>
    <row r="191" spans="1:13" ht="15.75" thickBot="1">
      <c r="A191" s="671" t="s">
        <v>73</v>
      </c>
      <c r="B191" s="2180" t="s">
        <v>703</v>
      </c>
      <c r="C191" s="2181"/>
      <c r="D191" s="2181"/>
      <c r="E191" s="2181"/>
      <c r="F191" s="2181"/>
      <c r="G191" s="2182"/>
      <c r="H191" s="657"/>
      <c r="I191" s="657"/>
      <c r="J191" s="657"/>
      <c r="K191" s="657"/>
      <c r="L191" s="657"/>
      <c r="M191" s="657"/>
    </row>
    <row r="192" spans="1:13">
      <c r="A192" s="2213" t="s">
        <v>303</v>
      </c>
      <c r="B192" s="2214"/>
      <c r="C192" s="2214"/>
      <c r="D192" s="2214"/>
      <c r="E192" s="2214"/>
      <c r="F192" s="2214"/>
      <c r="G192" s="2215"/>
      <c r="H192" s="657"/>
      <c r="I192" s="657"/>
      <c r="J192" s="657"/>
      <c r="K192" s="657"/>
      <c r="L192" s="657"/>
      <c r="M192" s="657"/>
    </row>
    <row r="193" spans="1:13">
      <c r="A193" s="2291" t="s">
        <v>357</v>
      </c>
      <c r="B193" s="2292"/>
      <c r="C193" s="2292"/>
      <c r="D193" s="2292"/>
      <c r="E193" s="2292"/>
      <c r="F193" s="2292"/>
      <c r="G193" s="2293"/>
      <c r="H193" s="657"/>
      <c r="I193" s="657"/>
      <c r="J193" s="657"/>
      <c r="K193" s="657"/>
      <c r="L193" s="657"/>
      <c r="M193" s="657"/>
    </row>
    <row r="194" spans="1:13">
      <c r="A194" s="2297" t="s">
        <v>391</v>
      </c>
      <c r="B194" s="2242"/>
      <c r="C194" s="1054" t="s">
        <v>322</v>
      </c>
      <c r="D194" s="1054" t="s">
        <v>305</v>
      </c>
      <c r="E194" s="2189" t="s">
        <v>306</v>
      </c>
      <c r="F194" s="2190"/>
      <c r="G194" s="2191"/>
      <c r="H194" s="657"/>
      <c r="I194" s="657"/>
      <c r="J194" s="657"/>
      <c r="K194" s="657"/>
      <c r="L194" s="657"/>
      <c r="M194" s="657"/>
    </row>
    <row r="195" spans="1:13">
      <c r="A195" s="2299" t="s">
        <v>704</v>
      </c>
      <c r="B195" s="2300"/>
      <c r="C195" s="1051">
        <v>36.450000000000003</v>
      </c>
      <c r="D195" s="1048">
        <v>33.979999999999997</v>
      </c>
      <c r="E195" s="2280"/>
      <c r="F195" s="2301"/>
      <c r="G195" s="2302"/>
      <c r="H195" s="657"/>
      <c r="I195" s="657"/>
      <c r="J195" s="657"/>
      <c r="K195" s="657"/>
      <c r="L195" s="657"/>
      <c r="M195" s="657"/>
    </row>
    <row r="196" spans="1:13" ht="15.75" thickBot="1">
      <c r="A196" s="786"/>
      <c r="B196" s="1055"/>
      <c r="C196" s="1056" t="s">
        <v>307</v>
      </c>
      <c r="D196" s="1052">
        <f>SUM(D195:D195)</f>
        <v>33.979999999999997</v>
      </c>
      <c r="E196" s="2303"/>
      <c r="F196" s="2304"/>
      <c r="G196" s="2305"/>
      <c r="H196" s="657"/>
      <c r="I196" s="657"/>
      <c r="J196" s="657"/>
      <c r="K196" s="657"/>
      <c r="L196" s="657"/>
      <c r="M196" s="657"/>
    </row>
    <row r="197" spans="1:13" ht="15.75" thickBot="1">
      <c r="A197" s="783"/>
      <c r="B197" s="715"/>
      <c r="C197" s="715"/>
      <c r="D197" s="715"/>
      <c r="E197" s="715"/>
      <c r="F197" s="715"/>
      <c r="G197" s="761"/>
      <c r="H197" s="657"/>
      <c r="I197" s="657"/>
      <c r="J197" s="657"/>
      <c r="K197" s="657"/>
      <c r="L197" s="657"/>
      <c r="M197" s="657"/>
    </row>
    <row r="198" spans="1:13" ht="15.75" thickBot="1">
      <c r="A198" s="671" t="s">
        <v>359</v>
      </c>
      <c r="B198" s="2180" t="s">
        <v>71</v>
      </c>
      <c r="C198" s="2181"/>
      <c r="D198" s="2181"/>
      <c r="E198" s="2181"/>
      <c r="F198" s="2181"/>
      <c r="G198" s="2182"/>
      <c r="H198" s="657"/>
      <c r="I198" s="672" t="s">
        <v>457</v>
      </c>
      <c r="J198" s="657"/>
      <c r="K198" s="657"/>
      <c r="L198" s="657"/>
      <c r="M198" s="657"/>
    </row>
    <row r="199" spans="1:13" ht="21" customHeight="1">
      <c r="A199" s="790"/>
      <c r="B199" s="791"/>
      <c r="C199" s="791"/>
      <c r="D199" s="791"/>
      <c r="E199" s="791"/>
      <c r="F199" s="791"/>
      <c r="G199" s="792"/>
      <c r="H199" s="657"/>
      <c r="I199" s="657"/>
      <c r="J199" s="657"/>
      <c r="K199" s="657"/>
      <c r="L199" s="657"/>
      <c r="M199" s="657"/>
    </row>
    <row r="200" spans="1:13" ht="20.25" customHeight="1">
      <c r="A200" s="793"/>
      <c r="B200" s="794"/>
      <c r="C200" s="738"/>
      <c r="D200" s="738"/>
      <c r="E200" s="738"/>
      <c r="F200" s="738"/>
      <c r="G200" s="761"/>
      <c r="H200" s="657"/>
      <c r="I200" s="657"/>
      <c r="J200" s="657"/>
      <c r="K200" s="657"/>
      <c r="L200" s="657"/>
      <c r="M200" s="657"/>
    </row>
    <row r="201" spans="1:13" ht="23.25" customHeight="1">
      <c r="A201" s="793"/>
      <c r="B201" s="794"/>
      <c r="C201" s="738"/>
      <c r="D201" s="738"/>
      <c r="E201" s="738"/>
      <c r="F201" s="738"/>
      <c r="G201" s="761"/>
      <c r="H201" s="657"/>
      <c r="I201" s="657"/>
      <c r="J201" s="657"/>
      <c r="K201" s="657"/>
      <c r="L201" s="657"/>
      <c r="M201" s="657"/>
    </row>
    <row r="202" spans="1:13" ht="18" customHeight="1">
      <c r="A202" s="793"/>
      <c r="B202" s="794"/>
      <c r="C202" s="738"/>
      <c r="D202" s="738"/>
      <c r="E202" s="738"/>
      <c r="F202" s="738"/>
      <c r="G202" s="761"/>
      <c r="H202" s="657"/>
      <c r="I202" s="657"/>
      <c r="J202" s="657"/>
      <c r="K202" s="657"/>
      <c r="L202" s="657"/>
      <c r="M202" s="657"/>
    </row>
    <row r="203" spans="1:13" ht="21" customHeight="1">
      <c r="A203" s="793"/>
      <c r="B203" s="794"/>
      <c r="C203" s="738"/>
      <c r="D203" s="738"/>
      <c r="E203" s="738"/>
      <c r="F203" s="738"/>
      <c r="G203" s="761"/>
      <c r="H203" s="657"/>
      <c r="I203" s="657"/>
      <c r="J203" s="657"/>
      <c r="K203" s="657"/>
      <c r="L203" s="657"/>
      <c r="M203" s="657"/>
    </row>
    <row r="204" spans="1:13" ht="21.75" customHeight="1">
      <c r="A204" s="793"/>
      <c r="B204" s="794"/>
      <c r="C204" s="738"/>
      <c r="D204" s="738"/>
      <c r="E204" s="738"/>
      <c r="F204" s="738"/>
      <c r="G204" s="761"/>
      <c r="H204" s="657"/>
      <c r="I204" s="657"/>
      <c r="J204" s="657"/>
      <c r="K204" s="657"/>
      <c r="L204" s="657"/>
      <c r="M204" s="657"/>
    </row>
    <row r="205" spans="1:13" ht="18" customHeight="1">
      <c r="A205" s="793"/>
      <c r="B205" s="794"/>
      <c r="C205" s="738"/>
      <c r="D205" s="738"/>
      <c r="E205" s="738"/>
      <c r="F205" s="738"/>
      <c r="G205" s="761"/>
      <c r="H205" s="657"/>
      <c r="I205" s="657"/>
      <c r="J205" s="657"/>
      <c r="K205" s="657"/>
      <c r="L205" s="657"/>
      <c r="M205" s="657"/>
    </row>
    <row r="206" spans="1:13" ht="15.75" customHeight="1">
      <c r="A206" s="793"/>
      <c r="B206" s="794"/>
      <c r="C206" s="738"/>
      <c r="D206" s="738"/>
      <c r="E206" s="738"/>
      <c r="F206" s="795" t="s">
        <v>1460</v>
      </c>
      <c r="G206" s="761"/>
      <c r="H206" s="657"/>
      <c r="I206" s="657"/>
      <c r="J206" s="657"/>
      <c r="K206" s="657"/>
      <c r="L206" s="657"/>
      <c r="M206" s="657"/>
    </row>
    <row r="207" spans="1:13" ht="18" customHeight="1">
      <c r="A207" s="793"/>
      <c r="B207" s="794"/>
      <c r="C207" s="738"/>
      <c r="D207" s="738"/>
      <c r="E207" s="738"/>
      <c r="F207" s="2306"/>
      <c r="G207" s="2307"/>
      <c r="H207" s="657"/>
      <c r="I207" s="657"/>
      <c r="J207" s="657"/>
      <c r="K207" s="657"/>
      <c r="L207" s="657"/>
      <c r="M207" s="657"/>
    </row>
    <row r="208" spans="1:13" ht="17.25" customHeight="1">
      <c r="A208" s="793"/>
      <c r="B208" s="794"/>
      <c r="C208" s="738"/>
      <c r="D208" s="738"/>
      <c r="E208" s="738"/>
      <c r="F208" s="738"/>
      <c r="G208" s="761"/>
      <c r="H208" s="657"/>
      <c r="I208" s="657"/>
      <c r="J208" s="657"/>
      <c r="K208" s="657"/>
      <c r="L208" s="657"/>
      <c r="M208" s="657"/>
    </row>
    <row r="209" spans="1:13" ht="27" customHeight="1">
      <c r="A209" s="793"/>
      <c r="B209" s="794"/>
      <c r="C209" s="738"/>
      <c r="D209" s="738"/>
      <c r="E209" s="738"/>
      <c r="F209" s="2306"/>
      <c r="G209" s="2307"/>
      <c r="H209" s="657"/>
      <c r="I209" s="657"/>
      <c r="J209" s="657"/>
      <c r="K209" s="657"/>
      <c r="L209" s="657"/>
      <c r="M209" s="657"/>
    </row>
    <row r="210" spans="1:13">
      <c r="A210" s="793"/>
      <c r="B210" s="794"/>
      <c r="C210" s="738"/>
      <c r="D210" s="738"/>
      <c r="E210" s="738"/>
      <c r="F210" s="795" t="s">
        <v>1439</v>
      </c>
      <c r="G210" s="761"/>
      <c r="H210" s="657"/>
      <c r="I210" s="657"/>
      <c r="J210" s="657"/>
      <c r="K210" s="657"/>
      <c r="L210" s="657"/>
      <c r="M210" s="657"/>
    </row>
    <row r="211" spans="1:13" ht="21" customHeight="1">
      <c r="A211" s="793"/>
      <c r="B211" s="794"/>
      <c r="C211" s="738"/>
      <c r="D211" s="738"/>
      <c r="E211" s="738"/>
      <c r="F211" s="738"/>
      <c r="G211" s="761"/>
      <c r="H211" s="657"/>
      <c r="I211" s="657"/>
      <c r="J211" s="657"/>
      <c r="K211" s="657"/>
      <c r="L211" s="657"/>
      <c r="M211" s="657"/>
    </row>
    <row r="212" spans="1:13" ht="16.5" customHeight="1">
      <c r="A212" s="793"/>
      <c r="B212" s="794"/>
      <c r="C212" s="738"/>
      <c r="D212" s="738"/>
      <c r="E212" s="738"/>
      <c r="F212" s="738"/>
      <c r="G212" s="761"/>
      <c r="H212" s="657"/>
      <c r="I212" s="657"/>
      <c r="J212" s="657"/>
      <c r="K212" s="657"/>
      <c r="L212" s="657"/>
      <c r="M212" s="657"/>
    </row>
    <row r="213" spans="1:13" ht="22.5" customHeight="1">
      <c r="A213" s="793"/>
      <c r="B213" s="794"/>
      <c r="C213" s="738"/>
      <c r="D213" s="738"/>
      <c r="E213" s="738"/>
      <c r="F213" s="738"/>
      <c r="G213" s="761"/>
      <c r="H213" s="657"/>
      <c r="I213" s="657"/>
      <c r="J213" s="657"/>
      <c r="K213" s="657"/>
      <c r="L213" s="657"/>
      <c r="M213" s="657"/>
    </row>
    <row r="214" spans="1:13" ht="14.25" customHeight="1" thickBot="1">
      <c r="A214" s="793"/>
      <c r="B214" s="794"/>
      <c r="C214" s="738"/>
      <c r="D214" s="738"/>
      <c r="E214" s="738"/>
      <c r="F214" s="738"/>
      <c r="G214" s="761"/>
      <c r="H214" s="657"/>
      <c r="I214" s="657"/>
      <c r="J214" s="657"/>
      <c r="K214" s="657"/>
      <c r="L214" s="657"/>
      <c r="M214" s="657"/>
    </row>
    <row r="215" spans="1:13" ht="15.75" thickBot="1">
      <c r="A215" s="671" t="s">
        <v>41</v>
      </c>
      <c r="B215" s="2180" t="s">
        <v>705</v>
      </c>
      <c r="C215" s="2181"/>
      <c r="D215" s="2181"/>
      <c r="E215" s="2181"/>
      <c r="F215" s="2181"/>
      <c r="G215" s="2182"/>
      <c r="H215" s="657"/>
      <c r="I215" s="672" t="s">
        <v>457</v>
      </c>
      <c r="J215" s="657"/>
      <c r="K215" s="657"/>
      <c r="L215" s="657"/>
      <c r="M215" s="657"/>
    </row>
    <row r="216" spans="1:13">
      <c r="A216" s="2213" t="s">
        <v>303</v>
      </c>
      <c r="B216" s="2214"/>
      <c r="C216" s="2214"/>
      <c r="D216" s="2214"/>
      <c r="E216" s="2214"/>
      <c r="F216" s="2214"/>
      <c r="G216" s="2215"/>
      <c r="H216" s="657"/>
      <c r="I216" s="657"/>
      <c r="J216" s="657"/>
      <c r="K216" s="657"/>
      <c r="L216" s="657"/>
      <c r="M216" s="657"/>
    </row>
    <row r="217" spans="1:13">
      <c r="A217" s="2241" t="s">
        <v>360</v>
      </c>
      <c r="B217" s="2228"/>
      <c r="C217" s="2228"/>
      <c r="D217" s="2228"/>
      <c r="E217" s="2228"/>
      <c r="F217" s="2228"/>
      <c r="G217" s="2229"/>
      <c r="H217" s="657"/>
      <c r="I217" s="657"/>
      <c r="J217" s="657"/>
      <c r="K217" s="657"/>
      <c r="L217" s="657"/>
      <c r="M217" s="657"/>
    </row>
    <row r="218" spans="1:13">
      <c r="A218" s="686" t="s">
        <v>308</v>
      </c>
      <c r="B218" s="687" t="s">
        <v>361</v>
      </c>
      <c r="C218" s="687" t="s">
        <v>362</v>
      </c>
      <c r="D218" s="687" t="s">
        <v>333</v>
      </c>
      <c r="E218" s="687" t="s">
        <v>276</v>
      </c>
      <c r="F218" s="2189" t="s">
        <v>363</v>
      </c>
      <c r="G218" s="2191"/>
      <c r="H218" s="657"/>
      <c r="I218" s="657"/>
      <c r="J218" s="657"/>
      <c r="K218" s="657"/>
      <c r="L218" s="657"/>
      <c r="M218" s="657"/>
    </row>
    <row r="219" spans="1:13">
      <c r="A219" s="770" t="s">
        <v>364</v>
      </c>
      <c r="B219" s="690">
        <v>1.6</v>
      </c>
      <c r="C219" s="796">
        <v>2.1</v>
      </c>
      <c r="D219" s="796">
        <f>ROUNDUP(B219*C219,2)</f>
        <v>3.36</v>
      </c>
      <c r="E219" s="796">
        <v>1</v>
      </c>
      <c r="F219" s="2294">
        <f>E219*D219</f>
        <v>3.36</v>
      </c>
      <c r="G219" s="2295"/>
      <c r="H219" s="657"/>
      <c r="I219" s="657"/>
      <c r="J219" s="657"/>
      <c r="K219" s="657"/>
      <c r="L219" s="657"/>
      <c r="M219" s="657"/>
    </row>
    <row r="220" spans="1:13" ht="15.75" thickBot="1">
      <c r="A220" s="2268"/>
      <c r="B220" s="2296"/>
      <c r="C220" s="2296"/>
      <c r="D220" s="2269"/>
      <c r="E220" s="2270" t="s">
        <v>340</v>
      </c>
      <c r="F220" s="2272"/>
      <c r="G220" s="758">
        <f>ROUNDUP(F219,2)</f>
        <v>3.36</v>
      </c>
      <c r="H220" s="657"/>
      <c r="I220" s="672"/>
      <c r="J220" s="657"/>
      <c r="K220" s="657"/>
      <c r="L220" s="657"/>
      <c r="M220" s="657"/>
    </row>
    <row r="221" spans="1:13" ht="15.75" thickBot="1">
      <c r="A221" s="793"/>
      <c r="B221" s="794"/>
      <c r="C221" s="738"/>
      <c r="D221" s="738"/>
      <c r="E221" s="738"/>
      <c r="F221" s="738"/>
      <c r="G221" s="761"/>
      <c r="H221" s="657"/>
      <c r="I221" s="657"/>
      <c r="J221" s="657"/>
      <c r="K221" s="657"/>
      <c r="L221" s="657"/>
      <c r="M221" s="657"/>
    </row>
    <row r="222" spans="1:13" ht="15.75" thickBot="1">
      <c r="A222" s="671" t="s">
        <v>136</v>
      </c>
      <c r="B222" s="2180" t="s">
        <v>706</v>
      </c>
      <c r="C222" s="2181"/>
      <c r="D222" s="2181"/>
      <c r="E222" s="2181"/>
      <c r="F222" s="2181"/>
      <c r="G222" s="2182"/>
      <c r="H222" s="657"/>
      <c r="I222" s="672" t="s">
        <v>457</v>
      </c>
      <c r="J222" s="657"/>
      <c r="K222" s="657"/>
      <c r="L222" s="657"/>
      <c r="M222" s="657"/>
    </row>
    <row r="223" spans="1:13">
      <c r="A223" s="2213" t="s">
        <v>303</v>
      </c>
      <c r="B223" s="2214"/>
      <c r="C223" s="2214"/>
      <c r="D223" s="2214"/>
      <c r="E223" s="2214"/>
      <c r="F223" s="2214"/>
      <c r="G223" s="2215"/>
      <c r="H223" s="657"/>
      <c r="I223" s="657"/>
      <c r="J223" s="657"/>
      <c r="K223" s="657"/>
      <c r="L223" s="657"/>
      <c r="M223" s="657"/>
    </row>
    <row r="224" spans="1:13">
      <c r="A224" s="2241" t="s">
        <v>360</v>
      </c>
      <c r="B224" s="2228"/>
      <c r="C224" s="2228"/>
      <c r="D224" s="2228"/>
      <c r="E224" s="2228"/>
      <c r="F224" s="2228"/>
      <c r="G224" s="2229"/>
      <c r="H224" s="657"/>
      <c r="I224" s="657"/>
      <c r="J224" s="657"/>
      <c r="K224" s="657"/>
      <c r="L224" s="657"/>
      <c r="M224" s="657"/>
    </row>
    <row r="225" spans="1:13">
      <c r="A225" s="686" t="s">
        <v>308</v>
      </c>
      <c r="B225" s="687" t="s">
        <v>361</v>
      </c>
      <c r="C225" s="687" t="s">
        <v>362</v>
      </c>
      <c r="D225" s="687" t="s">
        <v>333</v>
      </c>
      <c r="E225" s="687" t="s">
        <v>276</v>
      </c>
      <c r="F225" s="2189" t="s">
        <v>363</v>
      </c>
      <c r="G225" s="2191"/>
      <c r="H225" s="657"/>
      <c r="I225" s="657"/>
      <c r="J225" s="657"/>
      <c r="K225" s="657"/>
      <c r="L225" s="657"/>
      <c r="M225" s="657"/>
    </row>
    <row r="226" spans="1:13">
      <c r="A226" s="770" t="s">
        <v>366</v>
      </c>
      <c r="B226" s="690">
        <v>0.8</v>
      </c>
      <c r="C226" s="796">
        <v>2.1</v>
      </c>
      <c r="D226" s="796">
        <f>ROUNDUP(B226*C226,2)</f>
        <v>1.68</v>
      </c>
      <c r="E226" s="796">
        <v>3</v>
      </c>
      <c r="F226" s="2294">
        <f>E226*D226</f>
        <v>5.04</v>
      </c>
      <c r="G226" s="2295"/>
      <c r="H226" s="657"/>
      <c r="I226" s="657"/>
      <c r="J226" s="657"/>
      <c r="K226" s="657"/>
      <c r="L226" s="657"/>
      <c r="M226" s="657"/>
    </row>
    <row r="227" spans="1:13" ht="15.75" thickBot="1">
      <c r="A227" s="2308"/>
      <c r="B227" s="2271"/>
      <c r="C227" s="2271"/>
      <c r="D227" s="2271"/>
      <c r="E227" s="2271"/>
      <c r="F227" s="2272"/>
      <c r="G227" s="758">
        <f>ROUNDUP(F226,2)</f>
        <v>5.04</v>
      </c>
      <c r="H227" s="657"/>
      <c r="I227" s="657"/>
      <c r="J227" s="657"/>
      <c r="K227" s="657"/>
      <c r="L227" s="657"/>
      <c r="M227" s="657"/>
    </row>
    <row r="228" spans="1:13" ht="15.75" thickBot="1">
      <c r="A228" s="793"/>
      <c r="B228" s="794"/>
      <c r="C228" s="738"/>
      <c r="D228" s="738"/>
      <c r="E228" s="738"/>
      <c r="F228" s="738"/>
      <c r="G228" s="761"/>
      <c r="H228" s="657"/>
      <c r="I228" s="657"/>
      <c r="J228" s="657"/>
      <c r="K228" s="657"/>
      <c r="L228" s="657"/>
      <c r="M228" s="657"/>
    </row>
    <row r="229" spans="1:13" ht="15.75" thickBot="1">
      <c r="A229" s="671" t="s">
        <v>137</v>
      </c>
      <c r="B229" s="2180" t="s">
        <v>707</v>
      </c>
      <c r="C229" s="2181"/>
      <c r="D229" s="2181"/>
      <c r="E229" s="2181"/>
      <c r="F229" s="2181"/>
      <c r="G229" s="2182"/>
      <c r="H229" s="657"/>
      <c r="I229" s="672" t="s">
        <v>457</v>
      </c>
      <c r="J229" s="657"/>
      <c r="K229" s="657"/>
      <c r="L229" s="657"/>
      <c r="M229" s="657"/>
    </row>
    <row r="230" spans="1:13">
      <c r="A230" s="2213" t="s">
        <v>303</v>
      </c>
      <c r="B230" s="2214"/>
      <c r="C230" s="2214"/>
      <c r="D230" s="2214"/>
      <c r="E230" s="2214"/>
      <c r="F230" s="2214"/>
      <c r="G230" s="2215"/>
      <c r="H230" s="657"/>
      <c r="I230" s="657"/>
      <c r="J230" s="657"/>
      <c r="K230" s="657"/>
      <c r="L230" s="657"/>
      <c r="M230" s="657"/>
    </row>
    <row r="231" spans="1:13">
      <c r="A231" s="2241" t="s">
        <v>360</v>
      </c>
      <c r="B231" s="2228"/>
      <c r="C231" s="2228"/>
      <c r="D231" s="2228"/>
      <c r="E231" s="2228"/>
      <c r="F231" s="2228"/>
      <c r="G231" s="2229"/>
      <c r="H231" s="657"/>
      <c r="I231" s="657"/>
      <c r="J231" s="657"/>
      <c r="K231" s="657"/>
      <c r="L231" s="657"/>
      <c r="M231" s="657"/>
    </row>
    <row r="232" spans="1:13">
      <c r="A232" s="686" t="s">
        <v>308</v>
      </c>
      <c r="B232" s="687" t="s">
        <v>361</v>
      </c>
      <c r="C232" s="687" t="s">
        <v>362</v>
      </c>
      <c r="D232" s="687" t="s">
        <v>333</v>
      </c>
      <c r="E232" s="687" t="s">
        <v>276</v>
      </c>
      <c r="F232" s="2189" t="s">
        <v>363</v>
      </c>
      <c r="G232" s="2191"/>
      <c r="H232" s="657"/>
      <c r="I232" s="657"/>
      <c r="J232" s="657"/>
      <c r="K232" s="657"/>
      <c r="L232" s="657"/>
      <c r="M232" s="657"/>
    </row>
    <row r="233" spans="1:13">
      <c r="A233" s="770" t="s">
        <v>367</v>
      </c>
      <c r="B233" s="690">
        <v>1</v>
      </c>
      <c r="C233" s="796">
        <v>2.1</v>
      </c>
      <c r="D233" s="796">
        <f>ROUNDUP(B233*C233,2)</f>
        <v>2.1</v>
      </c>
      <c r="E233" s="796">
        <v>1</v>
      </c>
      <c r="F233" s="2294">
        <f>E233*D233</f>
        <v>2.1</v>
      </c>
      <c r="G233" s="2295"/>
      <c r="H233" s="657"/>
      <c r="I233" s="657"/>
      <c r="J233" s="657"/>
      <c r="K233" s="657"/>
      <c r="L233" s="657"/>
      <c r="M233" s="657"/>
    </row>
    <row r="234" spans="1:13" ht="15.75" thickBot="1">
      <c r="A234" s="2308" t="s">
        <v>340</v>
      </c>
      <c r="B234" s="2271"/>
      <c r="C234" s="2271"/>
      <c r="D234" s="2271"/>
      <c r="E234" s="2271"/>
      <c r="F234" s="2272"/>
      <c r="G234" s="758">
        <f>ROUNDUP(F233,2)</f>
        <v>2.1</v>
      </c>
      <c r="H234" s="657"/>
      <c r="I234" s="657"/>
      <c r="J234" s="657"/>
      <c r="K234" s="657"/>
      <c r="L234" s="657"/>
      <c r="M234" s="657"/>
    </row>
    <row r="235" spans="1:13" ht="15.75" thickBot="1">
      <c r="A235" s="793"/>
      <c r="B235" s="794"/>
      <c r="C235" s="738"/>
      <c r="D235" s="738"/>
      <c r="E235" s="738"/>
      <c r="F235" s="738"/>
      <c r="G235" s="761"/>
      <c r="H235" s="657"/>
      <c r="I235" s="657"/>
      <c r="J235" s="657"/>
      <c r="K235" s="657"/>
      <c r="L235" s="657"/>
      <c r="M235" s="657"/>
    </row>
    <row r="236" spans="1:13" ht="15.75" thickBot="1">
      <c r="A236" s="671" t="s">
        <v>138</v>
      </c>
      <c r="B236" s="2180" t="s">
        <v>1440</v>
      </c>
      <c r="C236" s="2181"/>
      <c r="D236" s="2181"/>
      <c r="E236" s="2181"/>
      <c r="F236" s="2181"/>
      <c r="G236" s="2182"/>
      <c r="H236" s="657"/>
      <c r="I236" s="672" t="s">
        <v>457</v>
      </c>
      <c r="J236" s="657"/>
      <c r="K236" s="657"/>
      <c r="L236" s="657"/>
      <c r="M236" s="657"/>
    </row>
    <row r="237" spans="1:13">
      <c r="A237" s="2213" t="s">
        <v>303</v>
      </c>
      <c r="B237" s="2214"/>
      <c r="C237" s="2214"/>
      <c r="D237" s="2214"/>
      <c r="E237" s="2214"/>
      <c r="F237" s="2214"/>
      <c r="G237" s="2215"/>
      <c r="H237" s="657"/>
      <c r="I237" s="657"/>
      <c r="J237" s="657"/>
      <c r="K237" s="657"/>
      <c r="L237" s="657"/>
      <c r="M237" s="657"/>
    </row>
    <row r="238" spans="1:13">
      <c r="A238" s="2241" t="s">
        <v>360</v>
      </c>
      <c r="B238" s="2228"/>
      <c r="C238" s="2228"/>
      <c r="D238" s="2228"/>
      <c r="E238" s="2228"/>
      <c r="F238" s="2228"/>
      <c r="G238" s="2229"/>
      <c r="H238" s="657"/>
      <c r="I238" s="657"/>
      <c r="J238" s="657"/>
      <c r="K238" s="657"/>
      <c r="L238" s="657"/>
      <c r="M238" s="657"/>
    </row>
    <row r="239" spans="1:13">
      <c r="A239" s="686" t="s">
        <v>308</v>
      </c>
      <c r="B239" s="687" t="s">
        <v>361</v>
      </c>
      <c r="C239" s="687" t="s">
        <v>362</v>
      </c>
      <c r="D239" s="687" t="s">
        <v>333</v>
      </c>
      <c r="E239" s="687" t="s">
        <v>276</v>
      </c>
      <c r="F239" s="2189" t="s">
        <v>363</v>
      </c>
      <c r="G239" s="2191"/>
      <c r="H239" s="657"/>
      <c r="I239" s="657"/>
      <c r="J239" s="657"/>
      <c r="K239" s="657"/>
      <c r="L239" s="657"/>
      <c r="M239" s="657"/>
    </row>
    <row r="240" spans="1:13">
      <c r="A240" s="770" t="s">
        <v>368</v>
      </c>
      <c r="B240" s="690">
        <v>1.3</v>
      </c>
      <c r="C240" s="796">
        <v>2.1</v>
      </c>
      <c r="D240" s="796">
        <f>ROUNDUP(B240*C240,2)</f>
        <v>2.73</v>
      </c>
      <c r="E240" s="796">
        <v>2</v>
      </c>
      <c r="F240" s="2294">
        <f>E240*D240</f>
        <v>5.46</v>
      </c>
      <c r="G240" s="2295"/>
      <c r="H240" s="657"/>
      <c r="I240" s="657" t="s">
        <v>2115</v>
      </c>
      <c r="J240" s="657"/>
      <c r="K240" s="657"/>
      <c r="L240" s="657"/>
      <c r="M240" s="657"/>
    </row>
    <row r="241" spans="1:13" ht="15.75" thickBot="1">
      <c r="A241" s="2308" t="s">
        <v>340</v>
      </c>
      <c r="B241" s="2271"/>
      <c r="C241" s="2271"/>
      <c r="D241" s="2271"/>
      <c r="E241" s="2271"/>
      <c r="F241" s="2272"/>
      <c r="G241" s="758">
        <f>ROUNDUP(F240,2)</f>
        <v>5.46</v>
      </c>
      <c r="H241" s="657"/>
      <c r="I241" s="657"/>
      <c r="J241" s="657"/>
      <c r="K241" s="657"/>
      <c r="L241" s="657"/>
      <c r="M241" s="657"/>
    </row>
    <row r="242" spans="1:13" ht="15.75" thickBot="1">
      <c r="A242" s="658"/>
      <c r="B242" s="659"/>
      <c r="C242" s="659"/>
      <c r="D242" s="659"/>
      <c r="E242" s="659"/>
      <c r="F242" s="659"/>
      <c r="G242" s="660"/>
      <c r="H242" s="657"/>
      <c r="I242" s="657"/>
      <c r="J242" s="657"/>
      <c r="K242" s="657"/>
      <c r="L242" s="657"/>
      <c r="M242" s="657"/>
    </row>
    <row r="243" spans="1:13" ht="15.75" thickBot="1">
      <c r="A243" s="671" t="s">
        <v>162</v>
      </c>
      <c r="B243" s="2180" t="s">
        <v>708</v>
      </c>
      <c r="C243" s="2181"/>
      <c r="D243" s="2181"/>
      <c r="E243" s="2181"/>
      <c r="F243" s="2181"/>
      <c r="G243" s="2182"/>
      <c r="H243" s="657"/>
      <c r="I243" s="672" t="s">
        <v>457</v>
      </c>
      <c r="J243" s="657"/>
      <c r="K243" s="657"/>
      <c r="L243" s="657"/>
      <c r="M243" s="657"/>
    </row>
    <row r="244" spans="1:13">
      <c r="A244" s="2213" t="s">
        <v>303</v>
      </c>
      <c r="B244" s="2214"/>
      <c r="C244" s="2214"/>
      <c r="D244" s="2214"/>
      <c r="E244" s="2214"/>
      <c r="F244" s="2214"/>
      <c r="G244" s="2215"/>
      <c r="H244" s="657"/>
      <c r="I244" s="657"/>
      <c r="J244" s="657"/>
      <c r="K244" s="657"/>
      <c r="L244" s="657"/>
      <c r="M244" s="657"/>
    </row>
    <row r="245" spans="1:13">
      <c r="A245" s="2241" t="s">
        <v>360</v>
      </c>
      <c r="B245" s="2228"/>
      <c r="C245" s="2228"/>
      <c r="D245" s="2228"/>
      <c r="E245" s="2228"/>
      <c r="F245" s="2228"/>
      <c r="G245" s="2229"/>
      <c r="H245" s="657"/>
      <c r="I245" s="657"/>
      <c r="J245" s="657"/>
      <c r="K245" s="657"/>
      <c r="L245" s="657"/>
      <c r="M245" s="657"/>
    </row>
    <row r="246" spans="1:13">
      <c r="A246" s="686" t="s">
        <v>308</v>
      </c>
      <c r="B246" s="687" t="s">
        <v>361</v>
      </c>
      <c r="C246" s="687" t="s">
        <v>362</v>
      </c>
      <c r="D246" s="687" t="s">
        <v>333</v>
      </c>
      <c r="E246" s="687" t="s">
        <v>276</v>
      </c>
      <c r="F246" s="2189" t="s">
        <v>363</v>
      </c>
      <c r="G246" s="2191"/>
      <c r="H246" s="657"/>
      <c r="I246" s="657"/>
      <c r="J246" s="657"/>
      <c r="K246" s="657"/>
      <c r="L246" s="657"/>
      <c r="M246" s="657"/>
    </row>
    <row r="247" spans="1:13">
      <c r="A247" s="770" t="s">
        <v>709</v>
      </c>
      <c r="B247" s="690">
        <v>0.8</v>
      </c>
      <c r="C247" s="796">
        <v>2.1</v>
      </c>
      <c r="D247" s="796">
        <f>ROUNDUP(B247*C247,2)</f>
        <v>1.68</v>
      </c>
      <c r="E247" s="796">
        <v>1</v>
      </c>
      <c r="F247" s="2294">
        <f>E247*D247</f>
        <v>1.68</v>
      </c>
      <c r="G247" s="2295"/>
      <c r="H247" s="657"/>
      <c r="I247" s="657"/>
      <c r="J247" s="657"/>
      <c r="K247" s="657"/>
      <c r="L247" s="657"/>
      <c r="M247" s="657"/>
    </row>
    <row r="248" spans="1:13" ht="15.75" thickBot="1">
      <c r="A248" s="2308" t="s">
        <v>340</v>
      </c>
      <c r="B248" s="2271"/>
      <c r="C248" s="2271"/>
      <c r="D248" s="2271"/>
      <c r="E248" s="2271"/>
      <c r="F248" s="2272"/>
      <c r="G248" s="758">
        <f>ROUNDUP(F247,2)</f>
        <v>1.68</v>
      </c>
      <c r="H248" s="657"/>
      <c r="I248" s="657"/>
      <c r="J248" s="657"/>
      <c r="K248" s="657"/>
      <c r="L248" s="657"/>
      <c r="M248" s="657"/>
    </row>
    <row r="249" spans="1:13" ht="15.75" thickBot="1">
      <c r="A249" s="2309"/>
      <c r="B249" s="2310"/>
      <c r="C249" s="2310"/>
      <c r="D249" s="2310"/>
      <c r="E249" s="2310"/>
      <c r="F249" s="2310"/>
      <c r="G249" s="2311"/>
      <c r="H249" s="657"/>
      <c r="I249" s="657"/>
      <c r="J249" s="657"/>
      <c r="K249" s="657"/>
      <c r="L249" s="657"/>
      <c r="M249" s="657"/>
    </row>
    <row r="250" spans="1:13" ht="15.75" thickBot="1">
      <c r="A250" s="671" t="s">
        <v>163</v>
      </c>
      <c r="B250" s="2180" t="s">
        <v>710</v>
      </c>
      <c r="C250" s="2181"/>
      <c r="D250" s="2181"/>
      <c r="E250" s="2181"/>
      <c r="F250" s="2181"/>
      <c r="G250" s="2182"/>
      <c r="H250" s="657"/>
      <c r="I250" s="672" t="s">
        <v>457</v>
      </c>
      <c r="J250" s="657"/>
      <c r="K250" s="657"/>
      <c r="L250" s="657"/>
      <c r="M250" s="657"/>
    </row>
    <row r="251" spans="1:13">
      <c r="A251" s="2213" t="s">
        <v>303</v>
      </c>
      <c r="B251" s="2214"/>
      <c r="C251" s="2214"/>
      <c r="D251" s="2214"/>
      <c r="E251" s="2214"/>
      <c r="F251" s="2214"/>
      <c r="G251" s="2215"/>
      <c r="H251" s="657"/>
      <c r="I251" s="657"/>
      <c r="J251" s="657"/>
      <c r="K251" s="657"/>
      <c r="L251" s="657"/>
      <c r="M251" s="657"/>
    </row>
    <row r="252" spans="1:13">
      <c r="A252" s="2241" t="s">
        <v>360</v>
      </c>
      <c r="B252" s="2228"/>
      <c r="C252" s="2228"/>
      <c r="D252" s="2228"/>
      <c r="E252" s="2228"/>
      <c r="F252" s="2228"/>
      <c r="G252" s="2229"/>
      <c r="H252" s="657"/>
      <c r="I252" s="657"/>
      <c r="J252" s="657"/>
      <c r="K252" s="657"/>
      <c r="L252" s="657"/>
      <c r="M252" s="657"/>
    </row>
    <row r="253" spans="1:13">
      <c r="A253" s="686" t="s">
        <v>308</v>
      </c>
      <c r="B253" s="687" t="s">
        <v>361</v>
      </c>
      <c r="C253" s="687" t="s">
        <v>362</v>
      </c>
      <c r="D253" s="687" t="s">
        <v>333</v>
      </c>
      <c r="E253" s="687" t="s">
        <v>276</v>
      </c>
      <c r="F253" s="2189" t="s">
        <v>363</v>
      </c>
      <c r="G253" s="2191"/>
      <c r="H253" s="657"/>
      <c r="I253" s="657"/>
      <c r="J253" s="657"/>
      <c r="K253" s="657"/>
      <c r="L253" s="657"/>
      <c r="M253" s="657"/>
    </row>
    <row r="254" spans="1:13">
      <c r="A254" s="770" t="s">
        <v>711</v>
      </c>
      <c r="B254" s="690">
        <v>0.8</v>
      </c>
      <c r="C254" s="796">
        <v>2.1</v>
      </c>
      <c r="D254" s="796">
        <f>ROUNDUP(B254*C254,2)</f>
        <v>1.68</v>
      </c>
      <c r="E254" s="796">
        <v>5</v>
      </c>
      <c r="F254" s="2294">
        <f>E254*D254</f>
        <v>8.4</v>
      </c>
      <c r="G254" s="2295"/>
      <c r="H254" s="657"/>
      <c r="I254" s="657"/>
      <c r="J254" s="657"/>
      <c r="K254" s="657"/>
      <c r="L254" s="657"/>
      <c r="M254" s="657"/>
    </row>
    <row r="255" spans="1:13" ht="15.75" thickBot="1">
      <c r="A255" s="2308" t="s">
        <v>340</v>
      </c>
      <c r="B255" s="2271"/>
      <c r="C255" s="2271"/>
      <c r="D255" s="2271"/>
      <c r="E255" s="2271"/>
      <c r="F255" s="2272"/>
      <c r="G255" s="758">
        <f>ROUNDUP(F254,2)</f>
        <v>8.4</v>
      </c>
      <c r="H255" s="657"/>
      <c r="I255" s="657"/>
      <c r="J255" s="657"/>
      <c r="K255" s="657"/>
      <c r="L255" s="657"/>
      <c r="M255" s="657"/>
    </row>
    <row r="256" spans="1:13" ht="15.75" thickBot="1">
      <c r="A256" s="2309"/>
      <c r="B256" s="2310"/>
      <c r="C256" s="2310"/>
      <c r="D256" s="2310"/>
      <c r="E256" s="2310"/>
      <c r="F256" s="2310"/>
      <c r="G256" s="2311"/>
      <c r="H256" s="657"/>
      <c r="I256" s="657"/>
      <c r="J256" s="657"/>
      <c r="K256" s="657"/>
      <c r="L256" s="657"/>
      <c r="M256" s="657"/>
    </row>
    <row r="257" spans="1:13" ht="15.75" thickBot="1">
      <c r="A257" s="671" t="s">
        <v>164</v>
      </c>
      <c r="B257" s="2180" t="s">
        <v>710</v>
      </c>
      <c r="C257" s="2181"/>
      <c r="D257" s="2181"/>
      <c r="E257" s="2181"/>
      <c r="F257" s="2181"/>
      <c r="G257" s="2182"/>
      <c r="H257" s="657"/>
      <c r="I257" s="672" t="s">
        <v>457</v>
      </c>
      <c r="J257" s="657"/>
      <c r="K257" s="657"/>
      <c r="L257" s="657"/>
      <c r="M257" s="657"/>
    </row>
    <row r="258" spans="1:13">
      <c r="A258" s="2213" t="s">
        <v>303</v>
      </c>
      <c r="B258" s="2214"/>
      <c r="C258" s="2214"/>
      <c r="D258" s="2214"/>
      <c r="E258" s="2214"/>
      <c r="F258" s="2214"/>
      <c r="G258" s="2215"/>
      <c r="H258" s="657"/>
      <c r="I258" s="657"/>
      <c r="J258" s="657"/>
      <c r="K258" s="657"/>
      <c r="L258" s="657"/>
      <c r="M258" s="657"/>
    </row>
    <row r="259" spans="1:13">
      <c r="A259" s="2241" t="s">
        <v>360</v>
      </c>
      <c r="B259" s="2228"/>
      <c r="C259" s="2228"/>
      <c r="D259" s="2228"/>
      <c r="E259" s="2228"/>
      <c r="F259" s="2228"/>
      <c r="G259" s="2229"/>
      <c r="H259" s="657"/>
      <c r="I259" s="657"/>
      <c r="J259" s="657"/>
      <c r="K259" s="657"/>
      <c r="L259" s="657"/>
      <c r="M259" s="657"/>
    </row>
    <row r="260" spans="1:13">
      <c r="A260" s="686" t="s">
        <v>308</v>
      </c>
      <c r="B260" s="687" t="s">
        <v>361</v>
      </c>
      <c r="C260" s="687" t="s">
        <v>362</v>
      </c>
      <c r="D260" s="687" t="s">
        <v>333</v>
      </c>
      <c r="E260" s="687" t="s">
        <v>276</v>
      </c>
      <c r="F260" s="2189" t="s">
        <v>363</v>
      </c>
      <c r="G260" s="2191"/>
      <c r="H260" s="657"/>
      <c r="I260" s="657"/>
      <c r="J260" s="657"/>
      <c r="K260" s="657"/>
      <c r="L260" s="657"/>
      <c r="M260" s="657"/>
    </row>
    <row r="261" spans="1:13">
      <c r="A261" s="770" t="s">
        <v>712</v>
      </c>
      <c r="B261" s="690">
        <v>0.9</v>
      </c>
      <c r="C261" s="796">
        <v>2.1</v>
      </c>
      <c r="D261" s="796">
        <f>ROUNDUP(B261*C261,2)</f>
        <v>1.89</v>
      </c>
      <c r="E261" s="796">
        <v>1</v>
      </c>
      <c r="F261" s="2294">
        <f>E261*D261</f>
        <v>1.89</v>
      </c>
      <c r="G261" s="2295"/>
      <c r="H261" s="657"/>
      <c r="I261" s="657"/>
      <c r="J261" s="657"/>
      <c r="K261" s="657"/>
      <c r="L261" s="657"/>
      <c r="M261" s="657"/>
    </row>
    <row r="262" spans="1:13" ht="15.75" thickBot="1">
      <c r="A262" s="2308" t="s">
        <v>340</v>
      </c>
      <c r="B262" s="2271"/>
      <c r="C262" s="2271"/>
      <c r="D262" s="2271"/>
      <c r="E262" s="2271"/>
      <c r="F262" s="2272"/>
      <c r="G262" s="758">
        <f>ROUNDUP(F261,2)</f>
        <v>1.89</v>
      </c>
      <c r="H262" s="657"/>
      <c r="I262" s="750">
        <f>G262+G255</f>
        <v>10.290000000000001</v>
      </c>
      <c r="J262" s="657"/>
      <c r="K262" s="657"/>
      <c r="L262" s="657"/>
      <c r="M262" s="657"/>
    </row>
    <row r="263" spans="1:13" ht="15.75" thickBot="1">
      <c r="A263" s="2309"/>
      <c r="B263" s="2310"/>
      <c r="C263" s="2310"/>
      <c r="D263" s="2310"/>
      <c r="E263" s="2310"/>
      <c r="F263" s="2310"/>
      <c r="G263" s="2311"/>
      <c r="H263" s="657"/>
      <c r="I263" s="657"/>
      <c r="J263" s="657"/>
      <c r="K263" s="657"/>
      <c r="L263" s="657"/>
      <c r="M263" s="657"/>
    </row>
    <row r="264" spans="1:13" ht="15.75" thickBot="1">
      <c r="A264" s="671" t="s">
        <v>371</v>
      </c>
      <c r="B264" s="2180" t="s">
        <v>713</v>
      </c>
      <c r="C264" s="2181"/>
      <c r="D264" s="2181"/>
      <c r="E264" s="2181"/>
      <c r="F264" s="2181"/>
      <c r="G264" s="2182"/>
      <c r="H264" s="657"/>
      <c r="I264" s="672" t="s">
        <v>457</v>
      </c>
      <c r="J264" s="657"/>
      <c r="K264" s="657"/>
      <c r="L264" s="657"/>
      <c r="M264" s="657"/>
    </row>
    <row r="265" spans="1:13">
      <c r="A265" s="2213" t="s">
        <v>303</v>
      </c>
      <c r="B265" s="2214"/>
      <c r="C265" s="2214"/>
      <c r="D265" s="2214"/>
      <c r="E265" s="2214"/>
      <c r="F265" s="2214"/>
      <c r="G265" s="2215"/>
      <c r="H265" s="657"/>
      <c r="I265" s="657"/>
      <c r="J265" s="657"/>
      <c r="K265" s="657"/>
      <c r="L265" s="657"/>
      <c r="M265" s="657"/>
    </row>
    <row r="266" spans="1:13">
      <c r="A266" s="2241" t="s">
        <v>360</v>
      </c>
      <c r="B266" s="2228"/>
      <c r="C266" s="2228"/>
      <c r="D266" s="2228"/>
      <c r="E266" s="2228"/>
      <c r="F266" s="2228"/>
      <c r="G266" s="2229"/>
      <c r="H266" s="657"/>
      <c r="I266" s="657"/>
      <c r="J266" s="657"/>
      <c r="K266" s="657"/>
      <c r="L266" s="657"/>
      <c r="M266" s="657"/>
    </row>
    <row r="267" spans="1:13">
      <c r="A267" s="686" t="s">
        <v>308</v>
      </c>
      <c r="B267" s="687" t="s">
        <v>361</v>
      </c>
      <c r="C267" s="687" t="s">
        <v>362</v>
      </c>
      <c r="D267" s="687" t="s">
        <v>333</v>
      </c>
      <c r="E267" s="687" t="s">
        <v>276</v>
      </c>
      <c r="F267" s="2189" t="s">
        <v>363</v>
      </c>
      <c r="G267" s="2191"/>
      <c r="H267" s="657"/>
      <c r="I267" s="657"/>
      <c r="J267" s="657"/>
      <c r="K267" s="657"/>
      <c r="L267" s="657"/>
      <c r="M267" s="657"/>
    </row>
    <row r="268" spans="1:13">
      <c r="A268" s="770" t="s">
        <v>714</v>
      </c>
      <c r="B268" s="690">
        <v>1.5</v>
      </c>
      <c r="C268" s="796">
        <v>2.4500000000000002</v>
      </c>
      <c r="D268" s="796">
        <f>ROUNDUP(B268*C268,2)</f>
        <v>3.6799999999999997</v>
      </c>
      <c r="E268" s="796">
        <v>1</v>
      </c>
      <c r="F268" s="2294">
        <f>E268*D268</f>
        <v>3.6799999999999997</v>
      </c>
      <c r="G268" s="2295"/>
      <c r="H268" s="657"/>
      <c r="I268" s="657"/>
      <c r="J268" s="657"/>
      <c r="K268" s="657"/>
      <c r="L268" s="657"/>
      <c r="M268" s="657"/>
    </row>
    <row r="269" spans="1:13" ht="15.75" thickBot="1">
      <c r="A269" s="2308" t="s">
        <v>340</v>
      </c>
      <c r="B269" s="2271"/>
      <c r="C269" s="2271"/>
      <c r="D269" s="2271"/>
      <c r="E269" s="2271"/>
      <c r="F269" s="2272"/>
      <c r="G269" s="758">
        <f>ROUNDUP(F268,2)</f>
        <v>3.68</v>
      </c>
      <c r="H269" s="657"/>
      <c r="I269" s="657"/>
      <c r="J269" s="657"/>
      <c r="K269" s="657"/>
      <c r="L269" s="657"/>
      <c r="M269" s="657"/>
    </row>
    <row r="270" spans="1:13" ht="15.75" thickBot="1">
      <c r="A270" s="793"/>
      <c r="B270" s="794"/>
      <c r="C270" s="738"/>
      <c r="D270" s="738"/>
      <c r="E270" s="738"/>
      <c r="F270" s="738"/>
      <c r="G270" s="761"/>
      <c r="H270" s="657"/>
      <c r="I270" s="657"/>
      <c r="J270" s="657"/>
      <c r="K270" s="657"/>
      <c r="L270" s="657"/>
      <c r="M270" s="657"/>
    </row>
    <row r="271" spans="1:13" ht="15.75" thickBot="1">
      <c r="A271" s="671" t="s">
        <v>373</v>
      </c>
      <c r="B271" s="2180" t="s">
        <v>715</v>
      </c>
      <c r="C271" s="2181"/>
      <c r="D271" s="2181"/>
      <c r="E271" s="2181"/>
      <c r="F271" s="2181"/>
      <c r="G271" s="2182"/>
      <c r="H271" s="657"/>
      <c r="I271" s="672" t="s">
        <v>457</v>
      </c>
      <c r="J271" s="657"/>
      <c r="K271" s="657"/>
      <c r="L271" s="657"/>
      <c r="M271" s="657"/>
    </row>
    <row r="272" spans="1:13">
      <c r="A272" s="2213" t="s">
        <v>303</v>
      </c>
      <c r="B272" s="2214"/>
      <c r="C272" s="2214"/>
      <c r="D272" s="2214"/>
      <c r="E272" s="2214"/>
      <c r="F272" s="2214"/>
      <c r="G272" s="2215"/>
      <c r="H272" s="657"/>
      <c r="I272" s="657"/>
      <c r="J272" s="657"/>
      <c r="K272" s="657"/>
      <c r="L272" s="657"/>
      <c r="M272" s="657"/>
    </row>
    <row r="273" spans="1:13">
      <c r="A273" s="2241" t="s">
        <v>360</v>
      </c>
      <c r="B273" s="2228"/>
      <c r="C273" s="2228"/>
      <c r="D273" s="2228"/>
      <c r="E273" s="2228"/>
      <c r="F273" s="2228"/>
      <c r="G273" s="2229"/>
      <c r="H273" s="657"/>
      <c r="I273" s="657"/>
      <c r="J273" s="657"/>
      <c r="K273" s="657"/>
      <c r="L273" s="657"/>
      <c r="M273" s="657"/>
    </row>
    <row r="274" spans="1:13">
      <c r="A274" s="686" t="s">
        <v>308</v>
      </c>
      <c r="B274" s="687" t="s">
        <v>361</v>
      </c>
      <c r="C274" s="687" t="s">
        <v>362</v>
      </c>
      <c r="D274" s="687" t="s">
        <v>333</v>
      </c>
      <c r="E274" s="687" t="s">
        <v>276</v>
      </c>
      <c r="F274" s="2189" t="s">
        <v>363</v>
      </c>
      <c r="G274" s="2191"/>
      <c r="H274" s="657"/>
      <c r="I274" s="657"/>
      <c r="J274" s="657"/>
      <c r="K274" s="657"/>
      <c r="L274" s="657"/>
      <c r="M274" s="657"/>
    </row>
    <row r="275" spans="1:13">
      <c r="A275" s="770" t="s">
        <v>716</v>
      </c>
      <c r="B275" s="690">
        <v>3.9</v>
      </c>
      <c r="C275" s="796">
        <v>2.4500000000000002</v>
      </c>
      <c r="D275" s="796">
        <f>ROUNDUP(B275*C275,2)</f>
        <v>9.56</v>
      </c>
      <c r="E275" s="796">
        <v>2</v>
      </c>
      <c r="F275" s="2294">
        <f>E275*D275</f>
        <v>19.12</v>
      </c>
      <c r="G275" s="2295"/>
      <c r="H275" s="657"/>
      <c r="I275" s="657"/>
      <c r="J275" s="657"/>
      <c r="K275" s="657"/>
      <c r="L275" s="657"/>
      <c r="M275" s="657"/>
    </row>
    <row r="276" spans="1:13" ht="15.75" thickBot="1">
      <c r="A276" s="2308" t="s">
        <v>340</v>
      </c>
      <c r="B276" s="2271"/>
      <c r="C276" s="2271"/>
      <c r="D276" s="2271"/>
      <c r="E276" s="2271"/>
      <c r="F276" s="2272"/>
      <c r="G276" s="758">
        <f>ROUNDUP(F275,2)</f>
        <v>19.12</v>
      </c>
      <c r="H276" s="657"/>
      <c r="I276" s="657"/>
      <c r="J276" s="657"/>
      <c r="K276" s="657"/>
      <c r="L276" s="657"/>
      <c r="M276" s="657"/>
    </row>
    <row r="277" spans="1:13" ht="15.75" thickBot="1">
      <c r="A277" s="793"/>
      <c r="B277" s="794"/>
      <c r="C277" s="738"/>
      <c r="D277" s="738"/>
      <c r="E277" s="738"/>
      <c r="F277" s="738"/>
      <c r="G277" s="761"/>
      <c r="H277" s="657"/>
      <c r="I277" s="657"/>
      <c r="J277" s="657"/>
      <c r="K277" s="657"/>
      <c r="L277" s="657"/>
      <c r="M277" s="657"/>
    </row>
    <row r="278" spans="1:13" ht="15.75" thickBot="1">
      <c r="A278" s="671" t="s">
        <v>375</v>
      </c>
      <c r="B278" s="2180" t="s">
        <v>717</v>
      </c>
      <c r="C278" s="2181"/>
      <c r="D278" s="2181"/>
      <c r="E278" s="2181"/>
      <c r="F278" s="2181"/>
      <c r="G278" s="2182"/>
      <c r="H278" s="657"/>
      <c r="I278" s="672" t="s">
        <v>457</v>
      </c>
      <c r="J278" s="657"/>
      <c r="K278" s="657"/>
      <c r="L278" s="657"/>
      <c r="M278" s="657"/>
    </row>
    <row r="279" spans="1:13">
      <c r="A279" s="2213" t="s">
        <v>303</v>
      </c>
      <c r="B279" s="2214"/>
      <c r="C279" s="2214"/>
      <c r="D279" s="2214"/>
      <c r="E279" s="2214"/>
      <c r="F279" s="2214"/>
      <c r="G279" s="2215"/>
      <c r="H279" s="657"/>
      <c r="I279" s="657"/>
      <c r="J279" s="657"/>
      <c r="K279" s="657"/>
      <c r="L279" s="657"/>
      <c r="M279" s="657"/>
    </row>
    <row r="280" spans="1:13">
      <c r="A280" s="2241" t="s">
        <v>360</v>
      </c>
      <c r="B280" s="2228"/>
      <c r="C280" s="2228"/>
      <c r="D280" s="2228"/>
      <c r="E280" s="2228"/>
      <c r="F280" s="2228"/>
      <c r="G280" s="2229"/>
      <c r="H280" s="657"/>
      <c r="I280" s="657"/>
      <c r="J280" s="657"/>
      <c r="K280" s="657"/>
      <c r="L280" s="657"/>
      <c r="M280" s="657"/>
    </row>
    <row r="281" spans="1:13">
      <c r="A281" s="686" t="s">
        <v>308</v>
      </c>
      <c r="B281" s="687" t="s">
        <v>361</v>
      </c>
      <c r="C281" s="687" t="s">
        <v>362</v>
      </c>
      <c r="D281" s="687" t="s">
        <v>333</v>
      </c>
      <c r="E281" s="687" t="s">
        <v>276</v>
      </c>
      <c r="F281" s="2189" t="s">
        <v>363</v>
      </c>
      <c r="G281" s="2191"/>
      <c r="H281" s="657"/>
      <c r="I281" s="657"/>
      <c r="J281" s="657"/>
      <c r="K281" s="657"/>
      <c r="L281" s="657"/>
      <c r="M281" s="657"/>
    </row>
    <row r="282" spans="1:13">
      <c r="A282" s="770" t="s">
        <v>369</v>
      </c>
      <c r="B282" s="690">
        <v>1.1000000000000001</v>
      </c>
      <c r="C282" s="796">
        <v>0.6</v>
      </c>
      <c r="D282" s="796">
        <f>ROUNDUP(B282*C282,2)</f>
        <v>0.66</v>
      </c>
      <c r="E282" s="796">
        <v>11</v>
      </c>
      <c r="F282" s="2294">
        <f>E282*D282</f>
        <v>7.2600000000000007</v>
      </c>
      <c r="G282" s="2295"/>
      <c r="H282" s="657"/>
      <c r="I282" s="657"/>
      <c r="J282" s="657"/>
      <c r="K282" s="657"/>
      <c r="L282" s="657"/>
      <c r="M282" s="657"/>
    </row>
    <row r="283" spans="1:13" ht="15.75" thickBot="1">
      <c r="A283" s="2308" t="s">
        <v>340</v>
      </c>
      <c r="B283" s="2271"/>
      <c r="C283" s="2271"/>
      <c r="D283" s="2271"/>
      <c r="E283" s="2271"/>
      <c r="F283" s="2272"/>
      <c r="G283" s="758">
        <f>ROUNDUP(F282,2)</f>
        <v>7.26</v>
      </c>
      <c r="H283" s="657"/>
      <c r="I283" s="657"/>
      <c r="J283" s="657"/>
      <c r="K283" s="657"/>
      <c r="L283" s="657"/>
      <c r="M283" s="657"/>
    </row>
    <row r="284" spans="1:13" ht="15.75" thickBot="1">
      <c r="A284" s="793"/>
      <c r="B284" s="794"/>
      <c r="C284" s="738"/>
      <c r="D284" s="738"/>
      <c r="E284" s="738"/>
      <c r="F284" s="738"/>
      <c r="G284" s="761"/>
      <c r="H284" s="657"/>
      <c r="I284" s="657"/>
      <c r="J284" s="657"/>
      <c r="K284" s="657"/>
      <c r="L284" s="657"/>
      <c r="M284" s="657"/>
    </row>
    <row r="285" spans="1:13" ht="15.75" thickBot="1">
      <c r="A285" s="671" t="s">
        <v>380</v>
      </c>
      <c r="B285" s="2180" t="s">
        <v>717</v>
      </c>
      <c r="C285" s="2181"/>
      <c r="D285" s="2181"/>
      <c r="E285" s="2181"/>
      <c r="F285" s="2181"/>
      <c r="G285" s="2182"/>
      <c r="H285" s="657"/>
      <c r="I285" s="672" t="s">
        <v>457</v>
      </c>
      <c r="J285" s="657"/>
      <c r="K285" s="657"/>
      <c r="L285" s="657"/>
      <c r="M285" s="657"/>
    </row>
    <row r="286" spans="1:13">
      <c r="A286" s="2213" t="s">
        <v>303</v>
      </c>
      <c r="B286" s="2214"/>
      <c r="C286" s="2214"/>
      <c r="D286" s="2214"/>
      <c r="E286" s="2214"/>
      <c r="F286" s="2214"/>
      <c r="G286" s="2215"/>
      <c r="H286" s="657"/>
      <c r="I286" s="657"/>
      <c r="J286" s="657"/>
      <c r="K286" s="657"/>
      <c r="L286" s="657"/>
      <c r="M286" s="657"/>
    </row>
    <row r="287" spans="1:13">
      <c r="A287" s="2241" t="s">
        <v>360</v>
      </c>
      <c r="B287" s="2228"/>
      <c r="C287" s="2228"/>
      <c r="D287" s="2228"/>
      <c r="E287" s="2228"/>
      <c r="F287" s="2228"/>
      <c r="G287" s="2229"/>
      <c r="H287" s="657"/>
      <c r="I287" s="657"/>
      <c r="J287" s="657"/>
      <c r="K287" s="657"/>
      <c r="L287" s="657"/>
      <c r="M287" s="657"/>
    </row>
    <row r="288" spans="1:13">
      <c r="A288" s="686" t="s">
        <v>308</v>
      </c>
      <c r="B288" s="687" t="s">
        <v>361</v>
      </c>
      <c r="C288" s="687" t="s">
        <v>362</v>
      </c>
      <c r="D288" s="687" t="s">
        <v>333</v>
      </c>
      <c r="E288" s="687" t="s">
        <v>276</v>
      </c>
      <c r="F288" s="2189" t="s">
        <v>363</v>
      </c>
      <c r="G288" s="2191"/>
      <c r="H288" s="657"/>
      <c r="I288" s="657"/>
      <c r="J288" s="657"/>
      <c r="K288" s="657"/>
      <c r="L288" s="657"/>
      <c r="M288" s="657"/>
    </row>
    <row r="289" spans="1:13">
      <c r="A289" s="770" t="s">
        <v>370</v>
      </c>
      <c r="B289" s="690">
        <v>2.2999999999999998</v>
      </c>
      <c r="C289" s="796">
        <v>1.1000000000000001</v>
      </c>
      <c r="D289" s="796">
        <f>ROUNDUP(B289*C289,2)</f>
        <v>2.5299999999999998</v>
      </c>
      <c r="E289" s="796">
        <v>6</v>
      </c>
      <c r="F289" s="2294">
        <f>E289*D289</f>
        <v>15.18</v>
      </c>
      <c r="G289" s="2295"/>
      <c r="H289" s="657"/>
      <c r="I289" s="657"/>
      <c r="J289" s="657"/>
      <c r="K289" s="657"/>
      <c r="L289" s="657"/>
      <c r="M289" s="657"/>
    </row>
    <row r="290" spans="1:13" ht="15.75" thickBot="1">
      <c r="A290" s="2308" t="s">
        <v>340</v>
      </c>
      <c r="B290" s="2271"/>
      <c r="C290" s="2271"/>
      <c r="D290" s="2271"/>
      <c r="E290" s="2271"/>
      <c r="F290" s="2272"/>
      <c r="G290" s="758">
        <f>ROUNDUP(F289,2)</f>
        <v>15.18</v>
      </c>
      <c r="H290" s="657"/>
      <c r="I290" s="657"/>
      <c r="J290" s="657"/>
      <c r="K290" s="657"/>
      <c r="L290" s="657"/>
      <c r="M290" s="657"/>
    </row>
    <row r="291" spans="1:13" ht="15.75" thickBot="1">
      <c r="A291" s="793"/>
      <c r="B291" s="794"/>
      <c r="C291" s="738"/>
      <c r="D291" s="738"/>
      <c r="E291" s="738"/>
      <c r="F291" s="738"/>
      <c r="G291" s="761"/>
      <c r="H291" s="657"/>
      <c r="I291" s="657"/>
      <c r="J291" s="657"/>
      <c r="K291" s="657"/>
      <c r="L291" s="657"/>
      <c r="M291" s="657"/>
    </row>
    <row r="292" spans="1:13" ht="15.75" thickBot="1">
      <c r="A292" s="671" t="s">
        <v>381</v>
      </c>
      <c r="B292" s="2180" t="s">
        <v>719</v>
      </c>
      <c r="C292" s="2181"/>
      <c r="D292" s="2181"/>
      <c r="E292" s="2181"/>
      <c r="F292" s="2181"/>
      <c r="G292" s="2182"/>
      <c r="H292" s="657"/>
      <c r="I292" s="672" t="s">
        <v>457</v>
      </c>
      <c r="J292" s="657"/>
      <c r="K292" s="657"/>
      <c r="L292" s="657"/>
      <c r="M292" s="657"/>
    </row>
    <row r="293" spans="1:13">
      <c r="A293" s="2213" t="s">
        <v>303</v>
      </c>
      <c r="B293" s="2214"/>
      <c r="C293" s="2214"/>
      <c r="D293" s="2214"/>
      <c r="E293" s="2214"/>
      <c r="F293" s="2214"/>
      <c r="G293" s="2215"/>
      <c r="H293" s="657"/>
      <c r="I293" s="657"/>
      <c r="J293" s="657"/>
      <c r="K293" s="657"/>
      <c r="L293" s="657"/>
      <c r="M293" s="657"/>
    </row>
    <row r="294" spans="1:13">
      <c r="A294" s="2241" t="s">
        <v>360</v>
      </c>
      <c r="B294" s="2228"/>
      <c r="C294" s="2228"/>
      <c r="D294" s="2228"/>
      <c r="E294" s="2228"/>
      <c r="F294" s="2228"/>
      <c r="G294" s="2229"/>
      <c r="H294" s="657"/>
      <c r="I294" s="657"/>
      <c r="J294" s="657"/>
      <c r="K294" s="657"/>
      <c r="L294" s="657"/>
      <c r="M294" s="657"/>
    </row>
    <row r="295" spans="1:13">
      <c r="A295" s="686" t="s">
        <v>308</v>
      </c>
      <c r="B295" s="687" t="s">
        <v>361</v>
      </c>
      <c r="C295" s="687" t="s">
        <v>362</v>
      </c>
      <c r="D295" s="687" t="s">
        <v>333</v>
      </c>
      <c r="E295" s="687" t="s">
        <v>276</v>
      </c>
      <c r="F295" s="2189" t="s">
        <v>363</v>
      </c>
      <c r="G295" s="2191"/>
      <c r="H295" s="657"/>
      <c r="I295" s="657"/>
      <c r="J295" s="657"/>
      <c r="K295" s="657"/>
      <c r="L295" s="657"/>
      <c r="M295" s="657"/>
    </row>
    <row r="296" spans="1:13">
      <c r="A296" s="770" t="s">
        <v>372</v>
      </c>
      <c r="B296" s="690">
        <v>2.2000000000000002</v>
      </c>
      <c r="C296" s="796">
        <v>1.1000000000000001</v>
      </c>
      <c r="D296" s="796">
        <f>ROUNDUP(B296*C296,2)</f>
        <v>2.42</v>
      </c>
      <c r="E296" s="796">
        <v>2</v>
      </c>
      <c r="F296" s="2294">
        <f>E296*D296</f>
        <v>4.84</v>
      </c>
      <c r="G296" s="2295"/>
      <c r="H296" s="657"/>
      <c r="I296" s="657"/>
      <c r="J296" s="657"/>
      <c r="K296" s="657"/>
      <c r="L296" s="657"/>
      <c r="M296" s="657"/>
    </row>
    <row r="297" spans="1:13" ht="15.75" thickBot="1">
      <c r="A297" s="2308" t="s">
        <v>340</v>
      </c>
      <c r="B297" s="2271"/>
      <c r="C297" s="2271"/>
      <c r="D297" s="2271"/>
      <c r="E297" s="2271"/>
      <c r="F297" s="2272"/>
      <c r="G297" s="758">
        <f>ROUNDUP(F296,2)</f>
        <v>4.84</v>
      </c>
      <c r="H297" s="657"/>
      <c r="I297" s="657"/>
      <c r="J297" s="657"/>
      <c r="K297" s="657"/>
      <c r="L297" s="657"/>
      <c r="M297" s="657"/>
    </row>
    <row r="298" spans="1:13" ht="15.75" thickBot="1">
      <c r="A298" s="793"/>
      <c r="B298" s="794"/>
      <c r="C298" s="738"/>
      <c r="D298" s="738"/>
      <c r="E298" s="738"/>
      <c r="F298" s="738"/>
      <c r="G298" s="761"/>
      <c r="H298" s="657"/>
      <c r="I298" s="657"/>
      <c r="J298" s="657"/>
      <c r="K298" s="657"/>
      <c r="L298" s="657"/>
      <c r="M298" s="657"/>
    </row>
    <row r="299" spans="1:13" ht="15.75" thickBot="1">
      <c r="A299" s="671" t="s">
        <v>718</v>
      </c>
      <c r="B299" s="2180" t="s">
        <v>717</v>
      </c>
      <c r="C299" s="2181"/>
      <c r="D299" s="2181"/>
      <c r="E299" s="2181"/>
      <c r="F299" s="2181"/>
      <c r="G299" s="2182"/>
      <c r="H299" s="657"/>
      <c r="I299" s="672" t="s">
        <v>457</v>
      </c>
      <c r="J299" s="657"/>
      <c r="K299" s="657"/>
      <c r="L299" s="657"/>
      <c r="M299" s="657"/>
    </row>
    <row r="300" spans="1:13">
      <c r="A300" s="2213" t="s">
        <v>303</v>
      </c>
      <c r="B300" s="2214"/>
      <c r="C300" s="2214"/>
      <c r="D300" s="2214"/>
      <c r="E300" s="2214"/>
      <c r="F300" s="2214"/>
      <c r="G300" s="2215"/>
      <c r="H300" s="657"/>
      <c r="I300" s="657"/>
      <c r="J300" s="657"/>
      <c r="K300" s="657"/>
      <c r="L300" s="657"/>
      <c r="M300" s="657"/>
    </row>
    <row r="301" spans="1:13">
      <c r="A301" s="2241" t="s">
        <v>360</v>
      </c>
      <c r="B301" s="2228"/>
      <c r="C301" s="2228"/>
      <c r="D301" s="2228"/>
      <c r="E301" s="2228"/>
      <c r="F301" s="2228"/>
      <c r="G301" s="2229"/>
      <c r="H301" s="657"/>
      <c r="I301" s="657"/>
      <c r="J301" s="657"/>
      <c r="K301" s="657"/>
      <c r="L301" s="657"/>
      <c r="M301" s="657"/>
    </row>
    <row r="302" spans="1:13">
      <c r="A302" s="686" t="s">
        <v>308</v>
      </c>
      <c r="B302" s="687" t="s">
        <v>361</v>
      </c>
      <c r="C302" s="687" t="s">
        <v>362</v>
      </c>
      <c r="D302" s="687" t="s">
        <v>333</v>
      </c>
      <c r="E302" s="687" t="s">
        <v>276</v>
      </c>
      <c r="F302" s="2189" t="s">
        <v>363</v>
      </c>
      <c r="G302" s="2191"/>
      <c r="H302" s="657"/>
      <c r="I302" s="657"/>
      <c r="J302" s="657"/>
      <c r="K302" s="657"/>
      <c r="L302" s="657"/>
      <c r="M302" s="657"/>
    </row>
    <row r="303" spans="1:13">
      <c r="A303" s="770" t="s">
        <v>374</v>
      </c>
      <c r="B303" s="690">
        <v>1.2</v>
      </c>
      <c r="C303" s="796">
        <v>1.6</v>
      </c>
      <c r="D303" s="796">
        <f>ROUNDUP(B303*C303,2)</f>
        <v>1.92</v>
      </c>
      <c r="E303" s="796">
        <v>1</v>
      </c>
      <c r="F303" s="2294">
        <f>E303*D303</f>
        <v>1.92</v>
      </c>
      <c r="G303" s="2295"/>
      <c r="H303" s="657"/>
      <c r="I303" s="657"/>
      <c r="J303" s="657"/>
      <c r="K303" s="657"/>
      <c r="L303" s="657"/>
      <c r="M303" s="657"/>
    </row>
    <row r="304" spans="1:13" ht="15.75" thickBot="1">
      <c r="A304" s="2308" t="s">
        <v>340</v>
      </c>
      <c r="B304" s="2271"/>
      <c r="C304" s="2271"/>
      <c r="D304" s="2271"/>
      <c r="E304" s="2271"/>
      <c r="F304" s="2272"/>
      <c r="G304" s="758">
        <f>ROUNDUP(F303,2)</f>
        <v>1.92</v>
      </c>
      <c r="H304" s="657"/>
      <c r="I304" s="657"/>
      <c r="J304" s="657"/>
      <c r="K304" s="657"/>
      <c r="L304" s="657"/>
      <c r="M304" s="657"/>
    </row>
    <row r="305" spans="1:13" ht="15.75" thickBot="1">
      <c r="A305" s="793"/>
      <c r="B305" s="794"/>
      <c r="C305" s="738"/>
      <c r="D305" s="738"/>
      <c r="E305" s="738"/>
      <c r="F305" s="738"/>
      <c r="G305" s="761"/>
      <c r="H305" s="657"/>
      <c r="I305" s="657"/>
      <c r="J305" s="657"/>
      <c r="K305" s="657"/>
      <c r="L305" s="657"/>
      <c r="M305" s="657"/>
    </row>
    <row r="306" spans="1:13" ht="15.75" thickBot="1">
      <c r="A306" s="671" t="s">
        <v>720</v>
      </c>
      <c r="B306" s="2180" t="s">
        <v>717</v>
      </c>
      <c r="C306" s="2181"/>
      <c r="D306" s="2181"/>
      <c r="E306" s="2181"/>
      <c r="F306" s="2181"/>
      <c r="G306" s="2182"/>
      <c r="H306" s="657"/>
      <c r="I306" s="672" t="s">
        <v>457</v>
      </c>
      <c r="J306" s="657"/>
      <c r="K306" s="657"/>
      <c r="L306" s="657"/>
      <c r="M306" s="657"/>
    </row>
    <row r="307" spans="1:13">
      <c r="A307" s="2213" t="s">
        <v>303</v>
      </c>
      <c r="B307" s="2214"/>
      <c r="C307" s="2214"/>
      <c r="D307" s="2214"/>
      <c r="E307" s="2214"/>
      <c r="F307" s="2214"/>
      <c r="G307" s="2215"/>
      <c r="H307" s="657"/>
      <c r="I307" s="657"/>
      <c r="J307" s="657"/>
      <c r="K307" s="657"/>
      <c r="L307" s="657"/>
      <c r="M307" s="657"/>
    </row>
    <row r="308" spans="1:13">
      <c r="A308" s="2241" t="s">
        <v>360</v>
      </c>
      <c r="B308" s="2228"/>
      <c r="C308" s="2228"/>
      <c r="D308" s="2228"/>
      <c r="E308" s="2228"/>
      <c r="F308" s="2228"/>
      <c r="G308" s="2229"/>
      <c r="H308" s="657"/>
      <c r="I308" s="657"/>
      <c r="J308" s="657"/>
      <c r="K308" s="657"/>
      <c r="L308" s="657"/>
      <c r="M308" s="657"/>
    </row>
    <row r="309" spans="1:13">
      <c r="A309" s="686" t="s">
        <v>308</v>
      </c>
      <c r="B309" s="687" t="s">
        <v>361</v>
      </c>
      <c r="C309" s="687" t="s">
        <v>362</v>
      </c>
      <c r="D309" s="687" t="s">
        <v>333</v>
      </c>
      <c r="E309" s="687" t="s">
        <v>276</v>
      </c>
      <c r="F309" s="2189" t="s">
        <v>363</v>
      </c>
      <c r="G309" s="2191"/>
      <c r="H309" s="657"/>
      <c r="I309" s="657"/>
      <c r="J309" s="657"/>
      <c r="K309" s="657"/>
      <c r="L309" s="657"/>
      <c r="M309" s="657"/>
    </row>
    <row r="310" spans="1:13">
      <c r="A310" s="770" t="s">
        <v>722</v>
      </c>
      <c r="B310" s="690">
        <v>0.4</v>
      </c>
      <c r="C310" s="796">
        <v>0.6</v>
      </c>
      <c r="D310" s="796">
        <f>ROUNDUP(B310*C310,2)</f>
        <v>0.24</v>
      </c>
      <c r="E310" s="796">
        <v>2</v>
      </c>
      <c r="F310" s="2294">
        <f>E310*D310</f>
        <v>0.48</v>
      </c>
      <c r="G310" s="2295"/>
      <c r="H310" s="657"/>
      <c r="I310" s="657"/>
      <c r="J310" s="657"/>
      <c r="K310" s="657"/>
      <c r="L310" s="657"/>
      <c r="M310" s="657"/>
    </row>
    <row r="311" spans="1:13" ht="15.75" thickBot="1">
      <c r="A311" s="2308" t="s">
        <v>340</v>
      </c>
      <c r="B311" s="2271"/>
      <c r="C311" s="2271"/>
      <c r="D311" s="2271"/>
      <c r="E311" s="2271"/>
      <c r="F311" s="2272"/>
      <c r="G311" s="758">
        <f>ROUNDUP(F310,2)</f>
        <v>0.48</v>
      </c>
      <c r="H311" s="657"/>
      <c r="I311" s="750">
        <f>G304+G311+G290+G283</f>
        <v>24.839999999999996</v>
      </c>
      <c r="J311" s="657"/>
      <c r="K311" s="657"/>
      <c r="L311" s="657"/>
      <c r="M311" s="657"/>
    </row>
    <row r="312" spans="1:13" ht="15.75" thickBot="1">
      <c r="A312" s="793"/>
      <c r="B312" s="794"/>
      <c r="C312" s="738"/>
      <c r="D312" s="738"/>
      <c r="E312" s="738"/>
      <c r="F312" s="738"/>
      <c r="G312" s="761"/>
      <c r="H312" s="657"/>
      <c r="I312" s="657"/>
      <c r="J312" s="657"/>
      <c r="K312" s="657"/>
      <c r="L312" s="657"/>
      <c r="M312" s="657"/>
    </row>
    <row r="313" spans="1:13" ht="15.75" thickBot="1">
      <c r="A313" s="671" t="s">
        <v>721</v>
      </c>
      <c r="B313" s="2180" t="s">
        <v>723</v>
      </c>
      <c r="C313" s="2181"/>
      <c r="D313" s="2181"/>
      <c r="E313" s="2181"/>
      <c r="F313" s="2181"/>
      <c r="G313" s="2182"/>
      <c r="H313" s="657"/>
      <c r="I313" s="672" t="s">
        <v>457</v>
      </c>
      <c r="J313" s="657"/>
      <c r="K313" s="657"/>
      <c r="L313" s="657"/>
      <c r="M313" s="657"/>
    </row>
    <row r="314" spans="1:13">
      <c r="A314" s="2192" t="s">
        <v>303</v>
      </c>
      <c r="B314" s="2193"/>
      <c r="C314" s="2193"/>
      <c r="D314" s="2193"/>
      <c r="E314" s="2193"/>
      <c r="F314" s="2193"/>
      <c r="G314" s="2194"/>
      <c r="H314" s="657"/>
      <c r="I314" s="657"/>
      <c r="J314" s="657"/>
      <c r="K314" s="657"/>
      <c r="L314" s="657"/>
      <c r="M314" s="657"/>
    </row>
    <row r="315" spans="1:13">
      <c r="A315" s="2241" t="s">
        <v>376</v>
      </c>
      <c r="B315" s="2228"/>
      <c r="C315" s="2228"/>
      <c r="D315" s="2228"/>
      <c r="E315" s="2228"/>
      <c r="F315" s="2228"/>
      <c r="G315" s="2229"/>
      <c r="H315" s="657"/>
      <c r="I315" s="657"/>
      <c r="J315" s="657"/>
      <c r="K315" s="657"/>
      <c r="L315" s="657"/>
      <c r="M315" s="657"/>
    </row>
    <row r="316" spans="1:13">
      <c r="A316" s="686" t="s">
        <v>377</v>
      </c>
      <c r="B316" s="687" t="s">
        <v>345</v>
      </c>
      <c r="C316" s="687" t="s">
        <v>355</v>
      </c>
      <c r="D316" s="687" t="s">
        <v>276</v>
      </c>
      <c r="E316" s="687" t="s">
        <v>378</v>
      </c>
      <c r="F316" s="2189"/>
      <c r="G316" s="2191"/>
      <c r="H316" s="657"/>
      <c r="I316" s="657"/>
      <c r="J316" s="657"/>
      <c r="K316" s="657"/>
      <c r="L316" s="657"/>
      <c r="M316" s="657"/>
    </row>
    <row r="317" spans="1:13">
      <c r="A317" s="770" t="s">
        <v>369</v>
      </c>
      <c r="B317" s="690">
        <v>0.2</v>
      </c>
      <c r="C317" s="690">
        <v>1.1000000000000001</v>
      </c>
      <c r="D317" s="772">
        <v>11</v>
      </c>
      <c r="E317" s="797">
        <f>C317*D317</f>
        <v>12.100000000000001</v>
      </c>
      <c r="F317" s="2260" t="s">
        <v>724</v>
      </c>
      <c r="G317" s="2262"/>
      <c r="H317" s="657"/>
      <c r="I317" s="657"/>
      <c r="J317" s="657"/>
      <c r="K317" s="657"/>
      <c r="L317" s="657"/>
      <c r="M317" s="657"/>
    </row>
    <row r="318" spans="1:13">
      <c r="A318" s="770" t="s">
        <v>370</v>
      </c>
      <c r="B318" s="690">
        <v>0.2</v>
      </c>
      <c r="C318" s="690">
        <v>2.2999999999999998</v>
      </c>
      <c r="D318" s="772">
        <v>6</v>
      </c>
      <c r="E318" s="797">
        <f>C318*D318</f>
        <v>13.799999999999999</v>
      </c>
      <c r="F318" s="2263"/>
      <c r="G318" s="2265"/>
      <c r="H318" s="657"/>
      <c r="I318" s="657"/>
      <c r="J318" s="657"/>
      <c r="K318" s="657"/>
      <c r="L318" s="657"/>
      <c r="M318" s="657"/>
    </row>
    <row r="319" spans="1:13">
      <c r="A319" s="770" t="s">
        <v>372</v>
      </c>
      <c r="B319" s="690">
        <v>0.2</v>
      </c>
      <c r="C319" s="690">
        <v>2.2000000000000002</v>
      </c>
      <c r="D319" s="772">
        <v>2</v>
      </c>
      <c r="E319" s="797">
        <f>C319*D319</f>
        <v>4.4000000000000004</v>
      </c>
      <c r="F319" s="2263"/>
      <c r="G319" s="2265"/>
      <c r="H319" s="657"/>
      <c r="I319" s="657"/>
      <c r="J319" s="657"/>
      <c r="K319" s="657"/>
      <c r="L319" s="657"/>
      <c r="M319" s="657"/>
    </row>
    <row r="320" spans="1:13">
      <c r="A320" s="770" t="s">
        <v>374</v>
      </c>
      <c r="B320" s="690">
        <v>0.2</v>
      </c>
      <c r="C320" s="690">
        <v>1.2</v>
      </c>
      <c r="D320" s="772">
        <v>1</v>
      </c>
      <c r="E320" s="797">
        <f>C320*D320</f>
        <v>1.2</v>
      </c>
      <c r="F320" s="2263"/>
      <c r="G320" s="2265"/>
      <c r="H320" s="657"/>
      <c r="I320" s="657"/>
      <c r="J320" s="657"/>
      <c r="K320" s="657"/>
      <c r="L320" s="657"/>
      <c r="M320" s="657"/>
    </row>
    <row r="321" spans="1:13" ht="15.75" thickBot="1">
      <c r="A321" s="2308" t="s">
        <v>307</v>
      </c>
      <c r="B321" s="2271"/>
      <c r="C321" s="2271"/>
      <c r="D321" s="2272"/>
      <c r="E321" s="789">
        <f>SUM(E317:E320)</f>
        <v>31.499999999999996</v>
      </c>
      <c r="F321" s="798"/>
      <c r="G321" s="799"/>
      <c r="H321" s="657"/>
      <c r="I321" s="657"/>
      <c r="J321" s="657"/>
      <c r="K321" s="657"/>
      <c r="L321" s="657"/>
      <c r="M321" s="657"/>
    </row>
    <row r="322" spans="1:13" ht="15.75" thickBot="1">
      <c r="A322" s="658"/>
      <c r="B322" s="659"/>
      <c r="C322" s="659"/>
      <c r="D322" s="659"/>
      <c r="E322" s="659"/>
      <c r="F322" s="659"/>
      <c r="G322" s="660"/>
      <c r="H322" s="657"/>
      <c r="I322" s="657"/>
      <c r="J322" s="657"/>
      <c r="K322" s="657"/>
      <c r="L322" s="657"/>
      <c r="M322" s="657"/>
    </row>
    <row r="323" spans="1:13" ht="15.75" thickBot="1">
      <c r="A323" s="671" t="s">
        <v>725</v>
      </c>
      <c r="B323" s="2180" t="s">
        <v>726</v>
      </c>
      <c r="C323" s="2181"/>
      <c r="D323" s="2181"/>
      <c r="E323" s="2181"/>
      <c r="F323" s="2181"/>
      <c r="G323" s="2182"/>
      <c r="H323" s="657"/>
      <c r="I323" s="672" t="s">
        <v>457</v>
      </c>
      <c r="J323" s="657"/>
      <c r="K323" s="657"/>
      <c r="L323" s="657"/>
      <c r="M323" s="657"/>
    </row>
    <row r="324" spans="1:13">
      <c r="A324" s="2248" t="s">
        <v>303</v>
      </c>
      <c r="B324" s="2249"/>
      <c r="C324" s="2249"/>
      <c r="D324" s="2249"/>
      <c r="E324" s="2249"/>
      <c r="F324" s="2249"/>
      <c r="G324" s="2250"/>
      <c r="H324" s="657"/>
      <c r="I324" s="657"/>
      <c r="J324" s="657"/>
      <c r="K324" s="657"/>
      <c r="L324" s="657"/>
      <c r="M324" s="657"/>
    </row>
    <row r="325" spans="1:13" ht="15.75" thickBot="1">
      <c r="A325" s="2209" t="s">
        <v>376</v>
      </c>
      <c r="B325" s="2210"/>
      <c r="C325" s="2210"/>
      <c r="D325" s="2210"/>
      <c r="E325" s="2210"/>
      <c r="F325" s="2210"/>
      <c r="G325" s="2211"/>
      <c r="H325" s="657"/>
      <c r="I325" s="657"/>
      <c r="J325" s="657"/>
      <c r="K325" s="657"/>
      <c r="L325" s="657"/>
      <c r="M325" s="657"/>
    </row>
    <row r="326" spans="1:13">
      <c r="A326" s="686" t="s">
        <v>322</v>
      </c>
      <c r="B326" s="687" t="s">
        <v>644</v>
      </c>
      <c r="C326" s="688" t="s">
        <v>345</v>
      </c>
      <c r="D326" s="687" t="s">
        <v>310</v>
      </c>
      <c r="E326" s="2189" t="s">
        <v>306</v>
      </c>
      <c r="F326" s="2190"/>
      <c r="G326" s="2191"/>
      <c r="H326" s="657"/>
      <c r="I326" s="657"/>
      <c r="J326" s="657"/>
      <c r="K326" s="657"/>
      <c r="L326" s="657"/>
      <c r="M326" s="657"/>
    </row>
    <row r="327" spans="1:13" ht="15.75" thickBot="1">
      <c r="A327" s="800" t="s">
        <v>727</v>
      </c>
      <c r="B327" s="801">
        <f>5.4+2.9</f>
        <v>8.3000000000000007</v>
      </c>
      <c r="C327" s="802">
        <v>0.05</v>
      </c>
      <c r="D327" s="801">
        <f>B327*C327</f>
        <v>0.41500000000000004</v>
      </c>
      <c r="E327" s="2210"/>
      <c r="F327" s="2210"/>
      <c r="G327" s="2211"/>
      <c r="H327" s="657"/>
      <c r="I327" s="657"/>
      <c r="J327" s="657"/>
      <c r="K327" s="657"/>
      <c r="L327" s="657"/>
      <c r="M327" s="657"/>
    </row>
    <row r="328" spans="1:13" ht="15.75" thickBot="1">
      <c r="A328" s="658"/>
      <c r="B328" s="659"/>
      <c r="C328" s="659"/>
      <c r="D328" s="659"/>
      <c r="E328" s="659"/>
      <c r="F328" s="659"/>
      <c r="G328" s="660"/>
      <c r="H328" s="657"/>
      <c r="I328" s="657"/>
      <c r="J328" s="657"/>
      <c r="K328" s="657"/>
      <c r="L328" s="657"/>
      <c r="M328" s="657"/>
    </row>
    <row r="329" spans="1:13" ht="15.75" thickBot="1">
      <c r="A329" s="671" t="s">
        <v>728</v>
      </c>
      <c r="B329" s="2180" t="s">
        <v>729</v>
      </c>
      <c r="C329" s="2181"/>
      <c r="D329" s="2181"/>
      <c r="E329" s="2181"/>
      <c r="F329" s="2181"/>
      <c r="G329" s="2182"/>
      <c r="H329" s="657"/>
      <c r="I329" s="672" t="s">
        <v>457</v>
      </c>
      <c r="J329" s="657"/>
      <c r="K329" s="657"/>
      <c r="L329" s="657"/>
      <c r="M329" s="657"/>
    </row>
    <row r="330" spans="1:13">
      <c r="A330" s="2192" t="s">
        <v>303</v>
      </c>
      <c r="B330" s="2193"/>
      <c r="C330" s="2193"/>
      <c r="D330" s="2193"/>
      <c r="E330" s="2193"/>
      <c r="F330" s="2193"/>
      <c r="G330" s="2194"/>
      <c r="H330" s="657"/>
      <c r="I330" s="657"/>
      <c r="J330" s="657"/>
      <c r="K330" s="657"/>
      <c r="L330" s="657"/>
      <c r="M330" s="657"/>
    </row>
    <row r="331" spans="1:13">
      <c r="A331" s="2241" t="s">
        <v>376</v>
      </c>
      <c r="B331" s="2228"/>
      <c r="C331" s="2228"/>
      <c r="D331" s="2228"/>
      <c r="E331" s="2228"/>
      <c r="F331" s="2228"/>
      <c r="G331" s="2229"/>
      <c r="H331" s="657"/>
      <c r="I331" s="657"/>
      <c r="J331" s="657"/>
      <c r="K331" s="657"/>
      <c r="L331" s="657"/>
      <c r="M331" s="657"/>
    </row>
    <row r="332" spans="1:13">
      <c r="A332" s="686" t="s">
        <v>377</v>
      </c>
      <c r="B332" s="687" t="s">
        <v>345</v>
      </c>
      <c r="C332" s="687" t="s">
        <v>355</v>
      </c>
      <c r="D332" s="687" t="s">
        <v>276</v>
      </c>
      <c r="E332" s="687" t="s">
        <v>378</v>
      </c>
      <c r="F332" s="2189"/>
      <c r="G332" s="2191"/>
      <c r="H332" s="657"/>
      <c r="I332" s="657"/>
      <c r="J332" s="657"/>
      <c r="K332" s="657"/>
      <c r="L332" s="657"/>
      <c r="M332" s="657"/>
    </row>
    <row r="333" spans="1:13">
      <c r="A333" s="770" t="s">
        <v>364</v>
      </c>
      <c r="B333" s="771">
        <v>0.16</v>
      </c>
      <c r="C333" s="771">
        <v>1.3</v>
      </c>
      <c r="D333" s="784">
        <v>1</v>
      </c>
      <c r="E333" s="785">
        <f>C333*D333</f>
        <v>1.3</v>
      </c>
      <c r="F333" s="2260" t="s">
        <v>379</v>
      </c>
      <c r="G333" s="2262"/>
      <c r="H333" s="657"/>
      <c r="I333" s="657"/>
      <c r="J333" s="657"/>
      <c r="K333" s="657"/>
      <c r="L333" s="657"/>
      <c r="M333" s="657"/>
    </row>
    <row r="334" spans="1:13">
      <c r="A334" s="770" t="s">
        <v>368</v>
      </c>
      <c r="B334" s="771">
        <v>0.16</v>
      </c>
      <c r="C334" s="771">
        <v>0.9</v>
      </c>
      <c r="D334" s="690">
        <v>1</v>
      </c>
      <c r="E334" s="785">
        <f>C334*D334</f>
        <v>0.9</v>
      </c>
      <c r="F334" s="2263"/>
      <c r="G334" s="2265"/>
      <c r="H334" s="657"/>
      <c r="I334" s="657"/>
      <c r="J334" s="657"/>
      <c r="K334" s="657"/>
      <c r="L334" s="657"/>
      <c r="M334" s="657"/>
    </row>
    <row r="335" spans="1:13">
      <c r="A335" s="770" t="s">
        <v>712</v>
      </c>
      <c r="B335" s="771">
        <v>0.16</v>
      </c>
      <c r="C335" s="771">
        <v>1.6</v>
      </c>
      <c r="D335" s="690">
        <v>1</v>
      </c>
      <c r="E335" s="785">
        <f>C335*D335</f>
        <v>1.6</v>
      </c>
      <c r="F335" s="2314"/>
      <c r="G335" s="2215"/>
      <c r="H335" s="657"/>
      <c r="I335" s="657"/>
      <c r="J335" s="657"/>
      <c r="K335" s="657"/>
      <c r="L335" s="657"/>
      <c r="M335" s="657"/>
    </row>
    <row r="336" spans="1:13" ht="15.75" thickBot="1">
      <c r="A336" s="2308" t="s">
        <v>307</v>
      </c>
      <c r="B336" s="2271"/>
      <c r="C336" s="2271"/>
      <c r="D336" s="2272"/>
      <c r="E336" s="789">
        <f>ROUNDUP(E333+E334+E335,2)</f>
        <v>3.8</v>
      </c>
      <c r="F336" s="803"/>
      <c r="G336" s="804"/>
      <c r="H336" s="657"/>
      <c r="I336" s="657"/>
      <c r="J336" s="657"/>
      <c r="K336" s="657"/>
      <c r="L336" s="657"/>
      <c r="M336" s="657"/>
    </row>
    <row r="337" spans="1:13" ht="15.75" thickBot="1">
      <c r="A337" s="658"/>
      <c r="B337" s="659"/>
      <c r="C337" s="659"/>
      <c r="D337" s="659"/>
      <c r="E337" s="659"/>
      <c r="F337" s="659"/>
      <c r="G337" s="660"/>
      <c r="H337" s="657"/>
      <c r="I337" s="657"/>
      <c r="J337" s="657"/>
      <c r="K337" s="657"/>
      <c r="L337" s="657"/>
      <c r="M337" s="657"/>
    </row>
    <row r="338" spans="1:13" ht="15.75" thickBot="1">
      <c r="A338" s="671" t="s">
        <v>383</v>
      </c>
      <c r="B338" s="2180" t="s">
        <v>384</v>
      </c>
      <c r="C338" s="2181"/>
      <c r="D338" s="2181"/>
      <c r="E338" s="2181"/>
      <c r="F338" s="2181"/>
      <c r="G338" s="2182"/>
      <c r="H338" s="657"/>
      <c r="I338" s="657"/>
      <c r="J338" s="657"/>
      <c r="K338" s="657"/>
      <c r="L338" s="657"/>
      <c r="M338" s="657"/>
    </row>
    <row r="339" spans="1:13" ht="15.75" thickBot="1">
      <c r="A339" s="671" t="s">
        <v>74</v>
      </c>
      <c r="B339" s="2180" t="s">
        <v>730</v>
      </c>
      <c r="C339" s="2181"/>
      <c r="D339" s="2181"/>
      <c r="E339" s="2181"/>
      <c r="F339" s="2181"/>
      <c r="G339" s="2182"/>
      <c r="H339" s="657"/>
      <c r="I339" s="672" t="s">
        <v>457</v>
      </c>
      <c r="J339" s="657"/>
      <c r="K339" s="657"/>
      <c r="L339" s="657"/>
      <c r="M339" s="657"/>
    </row>
    <row r="340" spans="1:13">
      <c r="A340" s="2213" t="s">
        <v>303</v>
      </c>
      <c r="B340" s="2214"/>
      <c r="C340" s="2214"/>
      <c r="D340" s="2214"/>
      <c r="E340" s="2214"/>
      <c r="F340" s="2214"/>
      <c r="G340" s="2215"/>
      <c r="H340" s="657"/>
      <c r="I340" s="657"/>
      <c r="J340" s="657"/>
      <c r="K340" s="657"/>
      <c r="L340" s="657"/>
      <c r="M340" s="657"/>
    </row>
    <row r="341" spans="1:13">
      <c r="A341" s="2291" t="s">
        <v>385</v>
      </c>
      <c r="B341" s="2292"/>
      <c r="C341" s="2292"/>
      <c r="D341" s="2292"/>
      <c r="E341" s="2292"/>
      <c r="F341" s="2292"/>
      <c r="G341" s="2293"/>
      <c r="H341" s="657"/>
      <c r="I341" s="657"/>
      <c r="J341" s="657"/>
      <c r="K341" s="657"/>
      <c r="L341" s="657"/>
      <c r="M341" s="657"/>
    </row>
    <row r="342" spans="1:13">
      <c r="A342" s="2291"/>
      <c r="B342" s="2292"/>
      <c r="C342" s="2292"/>
      <c r="D342" s="2292"/>
      <c r="E342" s="2292"/>
      <c r="F342" s="2292"/>
      <c r="G342" s="2293"/>
      <c r="H342" s="657"/>
      <c r="I342" s="657"/>
      <c r="J342" s="657"/>
      <c r="K342" s="657"/>
      <c r="L342" s="657"/>
      <c r="M342" s="657"/>
    </row>
    <row r="343" spans="1:13">
      <c r="A343" s="719"/>
      <c r="B343" s="720"/>
      <c r="C343" s="720"/>
      <c r="D343" s="720"/>
      <c r="E343" s="720"/>
      <c r="F343" s="720"/>
      <c r="G343" s="721"/>
      <c r="H343" s="657"/>
      <c r="I343" s="657"/>
      <c r="J343" s="657"/>
      <c r="K343" s="657"/>
      <c r="L343" s="657"/>
      <c r="M343" s="657"/>
    </row>
    <row r="344" spans="1:13">
      <c r="A344" s="719"/>
      <c r="B344" s="720"/>
      <c r="C344" s="720"/>
      <c r="D344" s="720"/>
      <c r="E344" s="720"/>
      <c r="F344" s="720"/>
      <c r="G344" s="721"/>
      <c r="H344" s="657"/>
      <c r="I344" s="657"/>
      <c r="J344" s="657"/>
      <c r="K344" s="657"/>
      <c r="L344" s="657"/>
      <c r="M344" s="657"/>
    </row>
    <row r="345" spans="1:13">
      <c r="A345" s="719"/>
      <c r="B345" s="720"/>
      <c r="C345" s="720"/>
      <c r="D345" s="720"/>
      <c r="E345" s="720"/>
      <c r="F345" s="720"/>
      <c r="G345" s="721"/>
      <c r="H345" s="657"/>
      <c r="I345" s="657"/>
      <c r="J345" s="657"/>
      <c r="K345" s="657"/>
      <c r="L345" s="657"/>
      <c r="M345" s="657"/>
    </row>
    <row r="346" spans="1:13">
      <c r="A346" s="719"/>
      <c r="B346" s="720"/>
      <c r="C346" s="720"/>
      <c r="D346" s="720"/>
      <c r="E346" s="720"/>
      <c r="F346" s="720"/>
      <c r="G346" s="721"/>
      <c r="H346" s="657"/>
      <c r="I346" s="657"/>
      <c r="J346" s="657"/>
      <c r="K346" s="657"/>
      <c r="L346" s="657"/>
      <c r="M346" s="657"/>
    </row>
    <row r="347" spans="1:13">
      <c r="A347" s="719"/>
      <c r="B347" s="720"/>
      <c r="C347" s="720"/>
      <c r="D347" s="720"/>
      <c r="E347" s="720"/>
      <c r="F347" s="720"/>
      <c r="G347" s="721"/>
      <c r="H347" s="657"/>
      <c r="I347" s="657"/>
      <c r="J347" s="657"/>
      <c r="K347" s="657"/>
      <c r="L347" s="657"/>
      <c r="M347" s="657"/>
    </row>
    <row r="348" spans="1:13">
      <c r="A348" s="719"/>
      <c r="B348" s="720"/>
      <c r="C348" s="720"/>
      <c r="D348" s="720"/>
      <c r="E348" s="720"/>
      <c r="F348" s="720"/>
      <c r="G348" s="721"/>
      <c r="H348" s="657"/>
      <c r="I348" s="657"/>
      <c r="J348" s="657"/>
      <c r="K348" s="657"/>
      <c r="L348" s="657"/>
      <c r="M348" s="657"/>
    </row>
    <row r="349" spans="1:13">
      <c r="A349" s="719"/>
      <c r="B349" s="720"/>
      <c r="C349" s="720"/>
      <c r="D349" s="720"/>
      <c r="E349" s="720"/>
      <c r="F349" s="720"/>
      <c r="G349" s="721"/>
      <c r="H349" s="657"/>
      <c r="I349" s="657"/>
      <c r="J349" s="657"/>
      <c r="K349" s="657"/>
      <c r="L349" s="657"/>
      <c r="M349" s="657"/>
    </row>
    <row r="350" spans="1:13">
      <c r="A350" s="719"/>
      <c r="B350" s="720"/>
      <c r="C350" s="720"/>
      <c r="D350" s="720"/>
      <c r="E350" s="720"/>
      <c r="F350" s="720"/>
      <c r="G350" s="721"/>
      <c r="H350" s="657"/>
      <c r="I350" s="657"/>
      <c r="J350" s="657"/>
      <c r="K350" s="657"/>
      <c r="L350" s="657"/>
      <c r="M350" s="657"/>
    </row>
    <row r="351" spans="1:13">
      <c r="A351" s="719"/>
      <c r="B351" s="720"/>
      <c r="C351" s="720"/>
      <c r="D351" s="720"/>
      <c r="E351" s="720"/>
      <c r="F351" s="720"/>
      <c r="G351" s="721"/>
      <c r="H351" s="657"/>
      <c r="I351" s="657"/>
      <c r="J351" s="657"/>
      <c r="K351" s="657"/>
      <c r="L351" s="657"/>
      <c r="M351" s="657"/>
    </row>
    <row r="352" spans="1:13">
      <c r="A352" s="719"/>
      <c r="B352" s="720"/>
      <c r="C352" s="720"/>
      <c r="D352" s="720"/>
      <c r="E352" s="720"/>
      <c r="F352" s="720"/>
      <c r="G352" s="721"/>
      <c r="H352" s="657"/>
      <c r="I352" s="657"/>
      <c r="J352" s="657"/>
      <c r="K352" s="657"/>
      <c r="L352" s="657"/>
      <c r="M352" s="657"/>
    </row>
    <row r="353" spans="1:13">
      <c r="A353" s="719"/>
      <c r="B353" s="720"/>
      <c r="C353" s="720"/>
      <c r="D353" s="720"/>
      <c r="E353" s="2207" t="s">
        <v>321</v>
      </c>
      <c r="F353" s="2207"/>
      <c r="G353" s="721"/>
      <c r="H353" s="657"/>
      <c r="I353" s="657"/>
      <c r="J353" s="657"/>
      <c r="K353" s="657"/>
      <c r="L353" s="657"/>
      <c r="M353" s="657"/>
    </row>
    <row r="354" spans="1:13">
      <c r="A354" s="686" t="s">
        <v>322</v>
      </c>
      <c r="B354" s="687" t="s">
        <v>322</v>
      </c>
      <c r="C354" s="687" t="s">
        <v>332</v>
      </c>
      <c r="D354" s="687" t="s">
        <v>333</v>
      </c>
      <c r="E354" s="687" t="s">
        <v>334</v>
      </c>
      <c r="F354" s="687" t="s">
        <v>335</v>
      </c>
      <c r="G354" s="745" t="s">
        <v>336</v>
      </c>
      <c r="H354" s="657"/>
      <c r="I354" s="657"/>
      <c r="J354" s="657"/>
      <c r="K354" s="657"/>
      <c r="L354" s="657"/>
      <c r="M354" s="657"/>
    </row>
    <row r="355" spans="1:13">
      <c r="A355" s="2201" t="s">
        <v>731</v>
      </c>
      <c r="B355" s="2202"/>
      <c r="C355" s="2202"/>
      <c r="D355" s="2202"/>
      <c r="E355" s="2202"/>
      <c r="F355" s="2202"/>
      <c r="G355" s="2203"/>
      <c r="H355" s="657"/>
      <c r="I355" s="657"/>
      <c r="J355" s="657"/>
      <c r="K355" s="657"/>
      <c r="L355" s="657"/>
      <c r="M355" s="657"/>
    </row>
    <row r="356" spans="1:13">
      <c r="A356" s="701" t="s">
        <v>732</v>
      </c>
      <c r="B356" s="723">
        <v>1.5</v>
      </c>
      <c r="C356" s="723">
        <v>2.8</v>
      </c>
      <c r="D356" s="723">
        <f t="shared" ref="D356:D363" si="2">B356*C356</f>
        <v>4.1999999999999993</v>
      </c>
      <c r="E356" s="723"/>
      <c r="F356" s="723"/>
      <c r="G356" s="748">
        <f t="shared" ref="G356:G363" si="3">D356-F356</f>
        <v>4.1999999999999993</v>
      </c>
      <c r="H356" s="657"/>
      <c r="I356" s="657"/>
      <c r="J356" s="657"/>
      <c r="K356" s="657"/>
      <c r="L356" s="657"/>
      <c r="M356" s="657"/>
    </row>
    <row r="357" spans="1:13">
      <c r="A357" s="701" t="s">
        <v>733</v>
      </c>
      <c r="B357" s="805">
        <v>1.95</v>
      </c>
      <c r="C357" s="723">
        <v>2.8</v>
      </c>
      <c r="D357" s="723">
        <f t="shared" si="2"/>
        <v>5.46</v>
      </c>
      <c r="E357" s="747" t="s">
        <v>734</v>
      </c>
      <c r="F357" s="723">
        <f>0.8*2.1</f>
        <v>1.6800000000000002</v>
      </c>
      <c r="G357" s="748">
        <f t="shared" si="3"/>
        <v>3.78</v>
      </c>
      <c r="H357" s="657"/>
      <c r="I357" s="657"/>
      <c r="J357" s="657"/>
      <c r="K357" s="657"/>
      <c r="L357" s="657"/>
      <c r="M357" s="657"/>
    </row>
    <row r="358" spans="1:13" ht="36">
      <c r="A358" s="701" t="s">
        <v>735</v>
      </c>
      <c r="B358" s="723">
        <f>1.05+2.85+3.85+1.85+1.08+2</f>
        <v>12.68</v>
      </c>
      <c r="C358" s="723">
        <v>0.7</v>
      </c>
      <c r="D358" s="723">
        <f t="shared" si="2"/>
        <v>8.8759999999999994</v>
      </c>
      <c r="E358" s="723"/>
      <c r="F358" s="723"/>
      <c r="G358" s="748">
        <f t="shared" si="3"/>
        <v>8.8759999999999994</v>
      </c>
      <c r="H358" s="657"/>
      <c r="I358" s="657"/>
      <c r="J358" s="657"/>
      <c r="K358" s="657"/>
      <c r="L358" s="657"/>
      <c r="M358" s="657"/>
    </row>
    <row r="359" spans="1:13" ht="36">
      <c r="A359" s="701" t="s">
        <v>736</v>
      </c>
      <c r="B359" s="723">
        <f>1.05+2.85+3.85+1.85+1.08+2</f>
        <v>12.68</v>
      </c>
      <c r="C359" s="723">
        <v>0.7</v>
      </c>
      <c r="D359" s="723">
        <f t="shared" si="2"/>
        <v>8.8759999999999994</v>
      </c>
      <c r="E359" s="723"/>
      <c r="F359" s="723"/>
      <c r="G359" s="748">
        <f t="shared" si="3"/>
        <v>8.8759999999999994</v>
      </c>
      <c r="H359" s="657"/>
      <c r="I359" s="657"/>
      <c r="J359" s="657"/>
      <c r="K359" s="657"/>
      <c r="L359" s="657"/>
      <c r="M359" s="657"/>
    </row>
    <row r="360" spans="1:13" ht="24">
      <c r="A360" s="701" t="s">
        <v>2051</v>
      </c>
      <c r="B360" s="723">
        <f>1.85+1.65+1.85+1.65</f>
        <v>7</v>
      </c>
      <c r="C360" s="723">
        <v>0.7</v>
      </c>
      <c r="D360" s="723">
        <f t="shared" si="2"/>
        <v>4.8999999999999995</v>
      </c>
      <c r="E360" s="747" t="s">
        <v>773</v>
      </c>
      <c r="F360" s="723">
        <f>0.4*0.6</f>
        <v>0.24</v>
      </c>
      <c r="G360" s="748">
        <f t="shared" si="3"/>
        <v>4.6599999999999993</v>
      </c>
      <c r="H360" s="657"/>
      <c r="I360" s="657"/>
      <c r="J360" s="657"/>
      <c r="K360" s="657"/>
      <c r="L360" s="657"/>
      <c r="M360" s="657"/>
    </row>
    <row r="361" spans="1:13" ht="24">
      <c r="A361" s="701" t="s">
        <v>2052</v>
      </c>
      <c r="B361" s="723">
        <f>1.85+1.65+1.85+1.65</f>
        <v>7</v>
      </c>
      <c r="C361" s="723">
        <v>0.7</v>
      </c>
      <c r="D361" s="723">
        <f t="shared" si="2"/>
        <v>4.8999999999999995</v>
      </c>
      <c r="E361" s="747" t="s">
        <v>773</v>
      </c>
      <c r="F361" s="723">
        <f>0.4*0.6</f>
        <v>0.24</v>
      </c>
      <c r="G361" s="748">
        <f t="shared" si="3"/>
        <v>4.6599999999999993</v>
      </c>
      <c r="H361" s="657"/>
      <c r="I361" s="657"/>
      <c r="J361" s="657"/>
      <c r="K361" s="657"/>
      <c r="L361" s="657"/>
      <c r="M361" s="657"/>
    </row>
    <row r="362" spans="1:13" ht="24">
      <c r="A362" s="701" t="s">
        <v>739</v>
      </c>
      <c r="B362" s="723">
        <f>1.35+1.35+2.35+2.35</f>
        <v>7.4</v>
      </c>
      <c r="C362" s="723">
        <v>0.7</v>
      </c>
      <c r="D362" s="723">
        <f t="shared" si="2"/>
        <v>5.18</v>
      </c>
      <c r="E362" s="723"/>
      <c r="F362" s="723"/>
      <c r="G362" s="748">
        <f t="shared" si="3"/>
        <v>5.18</v>
      </c>
      <c r="H362" s="657"/>
      <c r="I362" s="657"/>
      <c r="J362" s="657"/>
      <c r="K362" s="657"/>
      <c r="L362" s="657"/>
      <c r="M362" s="657"/>
    </row>
    <row r="363" spans="1:13" ht="24">
      <c r="A363" s="701" t="s">
        <v>740</v>
      </c>
      <c r="B363" s="723">
        <f>3.85+3.85+2+2</f>
        <v>11.7</v>
      </c>
      <c r="C363" s="723">
        <v>0.7</v>
      </c>
      <c r="D363" s="723">
        <f t="shared" si="2"/>
        <v>8.19</v>
      </c>
      <c r="E363" s="723"/>
      <c r="F363" s="723"/>
      <c r="G363" s="748">
        <f t="shared" si="3"/>
        <v>8.19</v>
      </c>
      <c r="H363" s="657"/>
      <c r="I363" s="657"/>
      <c r="J363" s="657"/>
      <c r="K363" s="657"/>
      <c r="L363" s="657"/>
      <c r="M363" s="657"/>
    </row>
    <row r="364" spans="1:13">
      <c r="A364" s="2312"/>
      <c r="B364" s="2283"/>
      <c r="C364" s="2283"/>
      <c r="D364" s="2283"/>
      <c r="E364" s="2283"/>
      <c r="F364" s="2283"/>
      <c r="G364" s="2284"/>
      <c r="H364" s="657"/>
      <c r="I364" s="657"/>
      <c r="J364" s="657"/>
      <c r="K364" s="657"/>
      <c r="L364" s="657"/>
      <c r="M364" s="657"/>
    </row>
    <row r="365" spans="1:13">
      <c r="A365" s="2201" t="s">
        <v>741</v>
      </c>
      <c r="B365" s="2202"/>
      <c r="C365" s="2202"/>
      <c r="D365" s="2202"/>
      <c r="E365" s="2202"/>
      <c r="F365" s="2202"/>
      <c r="G365" s="2203"/>
      <c r="H365" s="657"/>
      <c r="I365" s="657"/>
      <c r="J365" s="657"/>
      <c r="K365" s="657"/>
      <c r="L365" s="657"/>
      <c r="M365" s="657"/>
    </row>
    <row r="366" spans="1:13">
      <c r="A366" s="701" t="s">
        <v>742</v>
      </c>
      <c r="B366" s="723">
        <v>3.5</v>
      </c>
      <c r="C366" s="723">
        <v>2.8</v>
      </c>
      <c r="D366" s="723">
        <f t="shared" ref="D366:D377" si="4">B366*C366</f>
        <v>9.7999999999999989</v>
      </c>
      <c r="E366" s="747" t="s">
        <v>734</v>
      </c>
      <c r="F366" s="723">
        <f>0.8*2.1</f>
        <v>1.6800000000000002</v>
      </c>
      <c r="G366" s="748">
        <f t="shared" ref="G366:G377" si="5">D366-F366</f>
        <v>8.1199999999999992</v>
      </c>
      <c r="H366" s="657"/>
      <c r="I366" s="657"/>
      <c r="J366" s="657"/>
      <c r="K366" s="657"/>
      <c r="L366" s="657"/>
      <c r="M366" s="657"/>
    </row>
    <row r="367" spans="1:13" ht="36">
      <c r="A367" s="701" t="s">
        <v>743</v>
      </c>
      <c r="B367" s="723">
        <f>3.15+3.5</f>
        <v>6.65</v>
      </c>
      <c r="C367" s="723">
        <v>2.8</v>
      </c>
      <c r="D367" s="723">
        <f t="shared" si="4"/>
        <v>18.62</v>
      </c>
      <c r="E367" s="747" t="s">
        <v>744</v>
      </c>
      <c r="F367" s="723">
        <f>(0.8*2.1)+(1.1*0.6*2)</f>
        <v>3</v>
      </c>
      <c r="G367" s="748">
        <f t="shared" si="5"/>
        <v>15.620000000000001</v>
      </c>
      <c r="H367" s="657"/>
      <c r="I367" s="657"/>
      <c r="J367" s="657"/>
      <c r="K367" s="657"/>
      <c r="L367" s="657"/>
      <c r="M367" s="657"/>
    </row>
    <row r="368" spans="1:13">
      <c r="A368" s="701" t="s">
        <v>745</v>
      </c>
      <c r="B368" s="723">
        <f>3.35+3.15</f>
        <v>6.5</v>
      </c>
      <c r="C368" s="723">
        <v>2.8</v>
      </c>
      <c r="D368" s="723">
        <f t="shared" si="4"/>
        <v>18.2</v>
      </c>
      <c r="E368" s="723"/>
      <c r="F368" s="723"/>
      <c r="G368" s="748">
        <f t="shared" si="5"/>
        <v>18.2</v>
      </c>
      <c r="H368" s="657"/>
      <c r="I368" s="657"/>
      <c r="J368" s="657"/>
      <c r="K368" s="657"/>
      <c r="L368" s="657"/>
      <c r="M368" s="657"/>
    </row>
    <row r="369" spans="1:13" ht="24">
      <c r="A369" s="701" t="s">
        <v>746</v>
      </c>
      <c r="B369" s="723">
        <v>8</v>
      </c>
      <c r="C369" s="723">
        <v>2.8</v>
      </c>
      <c r="D369" s="723">
        <f t="shared" si="4"/>
        <v>22.4</v>
      </c>
      <c r="E369" s="747" t="s">
        <v>747</v>
      </c>
      <c r="F369" s="723">
        <f>(2.2*1.1)+(0.8*2.1)</f>
        <v>4.1000000000000005</v>
      </c>
      <c r="G369" s="748">
        <f t="shared" si="5"/>
        <v>18.299999999999997</v>
      </c>
      <c r="H369" s="657"/>
      <c r="I369" s="657"/>
      <c r="J369" s="657"/>
      <c r="K369" s="657"/>
      <c r="L369" s="657"/>
      <c r="M369" s="657"/>
    </row>
    <row r="370" spans="1:13" ht="24">
      <c r="A370" s="701" t="s">
        <v>746</v>
      </c>
      <c r="B370" s="723">
        <v>8</v>
      </c>
      <c r="C370" s="723">
        <v>2.8</v>
      </c>
      <c r="D370" s="723">
        <f t="shared" si="4"/>
        <v>22.4</v>
      </c>
      <c r="E370" s="723"/>
      <c r="F370" s="723"/>
      <c r="G370" s="748">
        <f t="shared" si="5"/>
        <v>22.4</v>
      </c>
      <c r="H370" s="657"/>
      <c r="I370" s="657"/>
      <c r="J370" s="657"/>
      <c r="K370" s="657"/>
      <c r="L370" s="657"/>
      <c r="M370" s="657"/>
    </row>
    <row r="371" spans="1:13">
      <c r="A371" s="701" t="s">
        <v>748</v>
      </c>
      <c r="B371" s="723">
        <v>3.5</v>
      </c>
      <c r="C371" s="723">
        <v>2.8</v>
      </c>
      <c r="D371" s="723">
        <f t="shared" si="4"/>
        <v>9.7999999999999989</v>
      </c>
      <c r="E371" s="747" t="s">
        <v>749</v>
      </c>
      <c r="F371" s="723">
        <f>2.2*1.1</f>
        <v>2.4200000000000004</v>
      </c>
      <c r="G371" s="748">
        <f t="shared" si="5"/>
        <v>7.379999999999999</v>
      </c>
      <c r="H371" s="657"/>
      <c r="I371" s="657"/>
      <c r="J371" s="657"/>
      <c r="K371" s="657"/>
      <c r="L371" s="657"/>
      <c r="M371" s="657"/>
    </row>
    <row r="372" spans="1:13">
      <c r="A372" s="701" t="s">
        <v>750</v>
      </c>
      <c r="B372" s="723">
        <f>2.55+2</f>
        <v>4.55</v>
      </c>
      <c r="C372" s="723">
        <v>2.8</v>
      </c>
      <c r="D372" s="723">
        <f t="shared" si="4"/>
        <v>12.739999999999998</v>
      </c>
      <c r="E372" s="723"/>
      <c r="F372" s="723"/>
      <c r="G372" s="748">
        <f t="shared" si="5"/>
        <v>12.739999999999998</v>
      </c>
      <c r="H372" s="657"/>
      <c r="I372" s="657"/>
      <c r="J372" s="657"/>
      <c r="K372" s="657"/>
      <c r="L372" s="657"/>
      <c r="M372" s="657"/>
    </row>
    <row r="373" spans="1:13" ht="24">
      <c r="A373" s="806" t="s">
        <v>751</v>
      </c>
      <c r="B373" s="807">
        <v>4</v>
      </c>
      <c r="C373" s="784">
        <v>2.8</v>
      </c>
      <c r="D373" s="784">
        <f t="shared" si="4"/>
        <v>11.2</v>
      </c>
      <c r="E373" s="808" t="s">
        <v>752</v>
      </c>
      <c r="F373" s="784">
        <f>(1.3*2.1)+(2.3*1.1)</f>
        <v>5.26</v>
      </c>
      <c r="G373" s="809">
        <f t="shared" si="5"/>
        <v>5.9399999999999995</v>
      </c>
      <c r="H373" s="657"/>
      <c r="I373" s="657"/>
      <c r="J373" s="657"/>
      <c r="K373" s="657"/>
      <c r="L373" s="657"/>
      <c r="M373" s="657"/>
    </row>
    <row r="374" spans="1:13" ht="36">
      <c r="A374" s="806" t="s">
        <v>753</v>
      </c>
      <c r="B374" s="807">
        <f>2.15+1.35+1.5</f>
        <v>5</v>
      </c>
      <c r="C374" s="784">
        <v>5.23</v>
      </c>
      <c r="D374" s="784">
        <f t="shared" si="4"/>
        <v>26.150000000000002</v>
      </c>
      <c r="E374" s="808" t="s">
        <v>754</v>
      </c>
      <c r="F374" s="784">
        <f>1.2*1.1+(0.8*2.1)+(0.9*2.1)</f>
        <v>4.8900000000000006</v>
      </c>
      <c r="G374" s="809">
        <f t="shared" si="5"/>
        <v>21.26</v>
      </c>
      <c r="H374" s="657"/>
      <c r="I374" s="657"/>
      <c r="J374" s="657"/>
      <c r="K374" s="657"/>
      <c r="L374" s="657"/>
      <c r="M374" s="657"/>
    </row>
    <row r="375" spans="1:13">
      <c r="A375" s="806" t="s">
        <v>755</v>
      </c>
      <c r="B375" s="807">
        <v>1.5</v>
      </c>
      <c r="C375" s="784">
        <v>5.23</v>
      </c>
      <c r="D375" s="784">
        <f t="shared" si="4"/>
        <v>7.8450000000000006</v>
      </c>
      <c r="E375" s="784"/>
      <c r="F375" s="784"/>
      <c r="G375" s="809">
        <f t="shared" si="5"/>
        <v>7.8450000000000006</v>
      </c>
      <c r="H375" s="657"/>
      <c r="I375" s="657"/>
      <c r="J375" s="657"/>
      <c r="K375" s="657"/>
      <c r="L375" s="657"/>
      <c r="M375" s="657"/>
    </row>
    <row r="376" spans="1:13" ht="48">
      <c r="A376" s="806" t="s">
        <v>756</v>
      </c>
      <c r="B376" s="807">
        <f>4.6+9.6</f>
        <v>14.2</v>
      </c>
      <c r="C376" s="784">
        <v>4.7300000000000004</v>
      </c>
      <c r="D376" s="784">
        <f t="shared" si="4"/>
        <v>67.165999999999997</v>
      </c>
      <c r="E376" s="808" t="s">
        <v>757</v>
      </c>
      <c r="F376" s="784">
        <f>2.3*1.1*2+(0.8*2.1)+(1*2.1)</f>
        <v>8.84</v>
      </c>
      <c r="G376" s="809">
        <f t="shared" si="5"/>
        <v>58.325999999999993</v>
      </c>
      <c r="H376" s="657"/>
      <c r="I376" s="657"/>
      <c r="J376" s="657"/>
      <c r="K376" s="657"/>
      <c r="L376" s="657"/>
      <c r="M376" s="657"/>
    </row>
    <row r="377" spans="1:13">
      <c r="A377" s="806" t="s">
        <v>758</v>
      </c>
      <c r="B377" s="807">
        <v>4.5999999999999996</v>
      </c>
      <c r="C377" s="784">
        <v>1.93</v>
      </c>
      <c r="D377" s="784">
        <f t="shared" si="4"/>
        <v>8.8779999999999983</v>
      </c>
      <c r="E377" s="784"/>
      <c r="F377" s="784"/>
      <c r="G377" s="809">
        <f t="shared" si="5"/>
        <v>8.8779999999999983</v>
      </c>
      <c r="H377" s="657"/>
      <c r="I377" s="657"/>
      <c r="J377" s="657"/>
      <c r="K377" s="657"/>
      <c r="L377" s="657"/>
      <c r="M377" s="657"/>
    </row>
    <row r="378" spans="1:13">
      <c r="A378" s="2312"/>
      <c r="B378" s="2283"/>
      <c r="C378" s="2283"/>
      <c r="D378" s="2283"/>
      <c r="E378" s="2283"/>
      <c r="F378" s="2283"/>
      <c r="G378" s="2284"/>
      <c r="H378" s="657"/>
      <c r="I378" s="657"/>
      <c r="J378" s="657"/>
      <c r="K378" s="657"/>
      <c r="L378" s="657"/>
      <c r="M378" s="657"/>
    </row>
    <row r="379" spans="1:13">
      <c r="A379" s="2201" t="s">
        <v>759</v>
      </c>
      <c r="B379" s="2202"/>
      <c r="C379" s="2202"/>
      <c r="D379" s="2202"/>
      <c r="E379" s="2202"/>
      <c r="F379" s="2202"/>
      <c r="G379" s="2203"/>
      <c r="H379" s="657"/>
      <c r="I379" s="657"/>
      <c r="J379" s="657"/>
      <c r="K379" s="657"/>
      <c r="L379" s="657"/>
      <c r="M379" s="657"/>
    </row>
    <row r="380" spans="1:13" ht="36">
      <c r="A380" s="701" t="s">
        <v>760</v>
      </c>
      <c r="B380" s="752">
        <f>7.5+4.65</f>
        <v>12.15</v>
      </c>
      <c r="C380" s="723">
        <v>2.8</v>
      </c>
      <c r="D380" s="723">
        <f t="shared" ref="D380:D388" si="6">B380*C380</f>
        <v>34.019999999999996</v>
      </c>
      <c r="E380" s="747" t="s">
        <v>761</v>
      </c>
      <c r="F380" s="723">
        <f>(1.6*2.1)+(3*1.1*0.6)</f>
        <v>5.34</v>
      </c>
      <c r="G380" s="748">
        <f t="shared" ref="G380:G388" si="7">D380-F380</f>
        <v>28.679999999999996</v>
      </c>
      <c r="H380" s="657"/>
      <c r="I380" s="657"/>
      <c r="J380" s="657"/>
      <c r="K380" s="657"/>
      <c r="L380" s="657"/>
      <c r="M380" s="657"/>
    </row>
    <row r="381" spans="1:13" ht="24">
      <c r="A381" s="701" t="s">
        <v>760</v>
      </c>
      <c r="B381" s="752">
        <f>7.5+4.65</f>
        <v>12.15</v>
      </c>
      <c r="C381" s="723">
        <v>2.8</v>
      </c>
      <c r="D381" s="723">
        <f t="shared" si="6"/>
        <v>34.019999999999996</v>
      </c>
      <c r="E381" s="723"/>
      <c r="F381" s="723"/>
      <c r="G381" s="748">
        <f t="shared" si="7"/>
        <v>34.019999999999996</v>
      </c>
      <c r="H381" s="657"/>
      <c r="I381" s="657"/>
      <c r="J381" s="657"/>
      <c r="K381" s="657"/>
      <c r="L381" s="657"/>
      <c r="M381" s="657"/>
    </row>
    <row r="382" spans="1:13" ht="36">
      <c r="A382" s="701" t="s">
        <v>762</v>
      </c>
      <c r="B382" s="805">
        <f>8.85+10.35</f>
        <v>19.2</v>
      </c>
      <c r="C382" s="723">
        <v>2.8</v>
      </c>
      <c r="D382" s="723">
        <f t="shared" si="6"/>
        <v>53.76</v>
      </c>
      <c r="E382" s="747" t="s">
        <v>763</v>
      </c>
      <c r="F382" s="723">
        <f>2.3*1.1*5</f>
        <v>12.649999999999999</v>
      </c>
      <c r="G382" s="748">
        <f t="shared" si="7"/>
        <v>41.11</v>
      </c>
      <c r="H382" s="657"/>
      <c r="I382" s="657"/>
      <c r="J382" s="657"/>
      <c r="K382" s="657"/>
      <c r="L382" s="657"/>
      <c r="M382" s="657"/>
    </row>
    <row r="383" spans="1:13" ht="24">
      <c r="A383" s="701" t="s">
        <v>764</v>
      </c>
      <c r="B383" s="805">
        <f>4.65+4</f>
        <v>8.65</v>
      </c>
      <c r="C383" s="723">
        <v>2.8</v>
      </c>
      <c r="D383" s="723">
        <f t="shared" si="6"/>
        <v>24.22</v>
      </c>
      <c r="E383" s="723"/>
      <c r="F383" s="723"/>
      <c r="G383" s="748">
        <f t="shared" si="7"/>
        <v>24.22</v>
      </c>
      <c r="H383" s="657"/>
      <c r="I383" s="657"/>
      <c r="J383" s="657"/>
      <c r="K383" s="657"/>
      <c r="L383" s="657"/>
      <c r="M383" s="657"/>
    </row>
    <row r="384" spans="1:13">
      <c r="A384" s="701" t="s">
        <v>765</v>
      </c>
      <c r="B384" s="805">
        <v>5.5</v>
      </c>
      <c r="C384" s="723">
        <v>2.8</v>
      </c>
      <c r="D384" s="723">
        <f t="shared" si="6"/>
        <v>15.399999999999999</v>
      </c>
      <c r="E384" s="747" t="s">
        <v>766</v>
      </c>
      <c r="F384" s="723">
        <f>2.3*1.1</f>
        <v>2.5299999999999998</v>
      </c>
      <c r="G384" s="748">
        <f t="shared" si="7"/>
        <v>12.87</v>
      </c>
      <c r="H384" s="657"/>
      <c r="I384" s="2313"/>
      <c r="J384" s="2313"/>
      <c r="K384" s="657"/>
      <c r="L384" s="657"/>
      <c r="M384" s="657"/>
    </row>
    <row r="385" spans="1:13">
      <c r="A385" s="701" t="s">
        <v>767</v>
      </c>
      <c r="B385" s="805">
        <v>4.5</v>
      </c>
      <c r="C385" s="723">
        <v>2.8</v>
      </c>
      <c r="D385" s="723">
        <f t="shared" si="6"/>
        <v>12.6</v>
      </c>
      <c r="E385" s="723"/>
      <c r="F385" s="723"/>
      <c r="G385" s="748">
        <f t="shared" si="7"/>
        <v>12.6</v>
      </c>
      <c r="H385" s="657"/>
      <c r="I385" s="2313"/>
      <c r="J385" s="2313"/>
      <c r="K385" s="657"/>
      <c r="L385" s="657"/>
      <c r="M385" s="657"/>
    </row>
    <row r="386" spans="1:13">
      <c r="A386" s="806" t="s">
        <v>768</v>
      </c>
      <c r="B386" s="807">
        <v>5</v>
      </c>
      <c r="C386" s="784">
        <v>2.8</v>
      </c>
      <c r="D386" s="784">
        <f t="shared" si="6"/>
        <v>14</v>
      </c>
      <c r="E386" s="784"/>
      <c r="F386" s="784"/>
      <c r="G386" s="809">
        <f t="shared" si="7"/>
        <v>14</v>
      </c>
      <c r="H386" s="657"/>
      <c r="I386" s="657"/>
      <c r="J386" s="657"/>
      <c r="K386" s="657"/>
      <c r="L386" s="657"/>
      <c r="M386" s="657"/>
    </row>
    <row r="387" spans="1:13">
      <c r="A387" s="806" t="s">
        <v>769</v>
      </c>
      <c r="B387" s="807">
        <v>9</v>
      </c>
      <c r="C387" s="784">
        <v>2.8</v>
      </c>
      <c r="D387" s="784">
        <f t="shared" si="6"/>
        <v>25.2</v>
      </c>
      <c r="E387" s="784"/>
      <c r="F387" s="784"/>
      <c r="G387" s="809">
        <f t="shared" si="7"/>
        <v>25.2</v>
      </c>
      <c r="H387" s="657"/>
      <c r="I387" s="657"/>
      <c r="J387" s="657"/>
      <c r="K387" s="657"/>
      <c r="L387" s="657"/>
      <c r="M387" s="657"/>
    </row>
    <row r="388" spans="1:13" ht="48">
      <c r="A388" s="806" t="s">
        <v>770</v>
      </c>
      <c r="B388" s="807">
        <v>6.15</v>
      </c>
      <c r="C388" s="784">
        <v>5.23</v>
      </c>
      <c r="D388" s="784">
        <f t="shared" si="6"/>
        <v>32.164500000000004</v>
      </c>
      <c r="E388" s="808" t="s">
        <v>771</v>
      </c>
      <c r="F388" s="784">
        <f>(0.8*2.1*4)+(0.4*0.6*2)</f>
        <v>7.2000000000000011</v>
      </c>
      <c r="G388" s="809">
        <f t="shared" si="7"/>
        <v>24.964500000000001</v>
      </c>
      <c r="H388" s="657"/>
      <c r="I388" s="657"/>
      <c r="J388" s="657"/>
      <c r="K388" s="657"/>
      <c r="L388" s="657"/>
      <c r="M388" s="657"/>
    </row>
    <row r="389" spans="1:13">
      <c r="A389" s="2312"/>
      <c r="B389" s="2283"/>
      <c r="C389" s="2283"/>
      <c r="D389" s="2283"/>
      <c r="E389" s="2283"/>
      <c r="F389" s="2283"/>
      <c r="G389" s="2284"/>
      <c r="H389" s="657"/>
      <c r="I389" s="657"/>
      <c r="J389" s="657"/>
      <c r="K389" s="657"/>
      <c r="L389" s="657"/>
      <c r="M389" s="657"/>
    </row>
    <row r="390" spans="1:13">
      <c r="A390" s="2273" t="s">
        <v>2058</v>
      </c>
      <c r="B390" s="2190"/>
      <c r="C390" s="2190"/>
      <c r="D390" s="2190"/>
      <c r="E390" s="2190"/>
      <c r="F390" s="2190"/>
      <c r="G390" s="2191"/>
      <c r="H390" s="657"/>
      <c r="I390" s="810"/>
      <c r="J390" s="657"/>
      <c r="K390" s="657"/>
      <c r="L390" s="657"/>
      <c r="M390" s="657"/>
    </row>
    <row r="391" spans="1:13">
      <c r="A391" s="2332"/>
      <c r="B391" s="2333"/>
      <c r="C391" s="2195" t="s">
        <v>731</v>
      </c>
      <c r="D391" s="2196"/>
      <c r="E391" s="2196"/>
      <c r="F391" s="2197"/>
      <c r="G391" s="748"/>
      <c r="H391" s="657"/>
      <c r="I391" s="657"/>
      <c r="J391" s="657"/>
      <c r="K391" s="657"/>
      <c r="L391" s="657"/>
      <c r="M391" s="657"/>
    </row>
    <row r="392" spans="1:13">
      <c r="A392" s="2309"/>
      <c r="B392" s="2334"/>
      <c r="C392" s="2198" t="s">
        <v>307</v>
      </c>
      <c r="D392" s="2199"/>
      <c r="E392" s="2199"/>
      <c r="F392" s="2200"/>
      <c r="G392" s="811">
        <f>ROUNDUP(G356+G357+G358+G359+G360+G361+G362+G363,2)</f>
        <v>48.43</v>
      </c>
      <c r="H392" s="657"/>
      <c r="I392" s="1044"/>
      <c r="J392" s="1044"/>
      <c r="K392" s="1044"/>
      <c r="L392" s="657"/>
      <c r="M392" s="657"/>
    </row>
    <row r="393" spans="1:13">
      <c r="A393" s="2309"/>
      <c r="B393" s="2334"/>
      <c r="C393" s="2195" t="s">
        <v>741</v>
      </c>
      <c r="D393" s="2196"/>
      <c r="E393" s="2196"/>
      <c r="F393" s="2197"/>
      <c r="G393" s="812"/>
      <c r="H393" s="657"/>
      <c r="I393" s="1044"/>
      <c r="J393" s="1044"/>
      <c r="K393" s="1044"/>
      <c r="L393" s="657"/>
      <c r="M393" s="657"/>
    </row>
    <row r="394" spans="1:13">
      <c r="A394" s="2309"/>
      <c r="B394" s="2334"/>
      <c r="C394" s="2198" t="s">
        <v>307</v>
      </c>
      <c r="D394" s="2199"/>
      <c r="E394" s="2199"/>
      <c r="F394" s="2200"/>
      <c r="G394" s="811">
        <f>ROUNDUP(G366+G367+G368+G369+G370+G371+G372+G373+G374+G375+G376+G377,2)</f>
        <v>205.01</v>
      </c>
      <c r="H394" s="657"/>
      <c r="I394" s="1044"/>
      <c r="J394" s="1044"/>
      <c r="K394" s="1044"/>
      <c r="L394" s="657"/>
      <c r="M394" s="657"/>
    </row>
    <row r="395" spans="1:13">
      <c r="A395" s="2309"/>
      <c r="B395" s="2334"/>
      <c r="C395" s="2195" t="s">
        <v>759</v>
      </c>
      <c r="D395" s="2196"/>
      <c r="E395" s="2196"/>
      <c r="F395" s="2197"/>
      <c r="G395" s="812"/>
      <c r="H395" s="657"/>
      <c r="I395" s="657"/>
      <c r="J395" s="657"/>
      <c r="K395" s="657"/>
      <c r="L395" s="657"/>
      <c r="M395" s="657"/>
    </row>
    <row r="396" spans="1:13">
      <c r="A396" s="2335"/>
      <c r="B396" s="2336"/>
      <c r="C396" s="2198" t="s">
        <v>307</v>
      </c>
      <c r="D396" s="2199"/>
      <c r="E396" s="2199"/>
      <c r="F396" s="2200"/>
      <c r="G396" s="811">
        <f>ROUNDUP(G380+G381+G382+G384+G385+G386+G387+G388,2)</f>
        <v>193.45</v>
      </c>
      <c r="H396" s="657"/>
      <c r="I396" s="813"/>
      <c r="J396" s="750"/>
      <c r="K396" s="750"/>
      <c r="L396" s="657"/>
      <c r="M396" s="657"/>
    </row>
    <row r="397" spans="1:13" ht="15.75" thickBot="1">
      <c r="A397" s="2318" t="s">
        <v>340</v>
      </c>
      <c r="B397" s="2319"/>
      <c r="C397" s="2319"/>
      <c r="D397" s="2319"/>
      <c r="E397" s="2319"/>
      <c r="F397" s="2320"/>
      <c r="G397" s="832">
        <f>ROUNDUP(G392+G394+G396,2)</f>
        <v>446.89</v>
      </c>
      <c r="H397" s="657"/>
      <c r="I397" s="750"/>
      <c r="J397" s="657"/>
      <c r="K397" s="657"/>
      <c r="L397" s="657"/>
      <c r="M397" s="657"/>
    </row>
    <row r="398" spans="1:13" ht="15.75" thickBot="1">
      <c r="A398" s="2321"/>
      <c r="B398" s="2322"/>
      <c r="C398" s="2322"/>
      <c r="D398" s="2322"/>
      <c r="E398" s="2322"/>
      <c r="F398" s="2322"/>
      <c r="G398" s="2323"/>
      <c r="H398" s="657"/>
      <c r="I398" s="657"/>
      <c r="J398" s="657"/>
      <c r="K398" s="657"/>
      <c r="L398" s="657"/>
      <c r="M398" s="657"/>
    </row>
    <row r="399" spans="1:13" ht="15.75" thickBot="1">
      <c r="A399" s="814" t="s">
        <v>110</v>
      </c>
      <c r="B399" s="2180" t="s">
        <v>2053</v>
      </c>
      <c r="C399" s="2324"/>
      <c r="D399" s="2324"/>
      <c r="E399" s="2324"/>
      <c r="F399" s="2324"/>
      <c r="G399" s="2325"/>
      <c r="H399" s="657"/>
      <c r="I399" s="815"/>
      <c r="J399" s="657"/>
      <c r="K399" s="657"/>
      <c r="L399" s="657"/>
      <c r="M399" s="657"/>
    </row>
    <row r="400" spans="1:13">
      <c r="A400" s="2326" t="s">
        <v>303</v>
      </c>
      <c r="B400" s="2327"/>
      <c r="C400" s="2327"/>
      <c r="D400" s="2327"/>
      <c r="E400" s="2327"/>
      <c r="F400" s="2327"/>
      <c r="G400" s="2328"/>
      <c r="H400" s="657"/>
      <c r="I400" s="657"/>
      <c r="J400" s="657"/>
      <c r="K400" s="657"/>
      <c r="L400" s="657"/>
      <c r="M400" s="657"/>
    </row>
    <row r="401" spans="1:13">
      <c r="A401" s="2329" t="s">
        <v>385</v>
      </c>
      <c r="B401" s="2330"/>
      <c r="C401" s="2330"/>
      <c r="D401" s="2330"/>
      <c r="E401" s="2330"/>
      <c r="F401" s="2330"/>
      <c r="G401" s="2331"/>
      <c r="H401" s="657"/>
      <c r="I401" s="657"/>
      <c r="J401" s="657"/>
      <c r="K401" s="657"/>
      <c r="L401" s="657"/>
      <c r="M401" s="657"/>
    </row>
    <row r="402" spans="1:13">
      <c r="A402" s="686" t="s">
        <v>322</v>
      </c>
      <c r="B402" s="687" t="s">
        <v>322</v>
      </c>
      <c r="C402" s="687" t="s">
        <v>332</v>
      </c>
      <c r="D402" s="687" t="s">
        <v>333</v>
      </c>
      <c r="E402" s="687" t="s">
        <v>334</v>
      </c>
      <c r="F402" s="687" t="s">
        <v>335</v>
      </c>
      <c r="G402" s="745" t="s">
        <v>336</v>
      </c>
      <c r="H402" s="657"/>
      <c r="I402" s="657"/>
      <c r="J402" s="657"/>
      <c r="K402" s="657"/>
      <c r="L402" s="657"/>
      <c r="M402" s="657"/>
    </row>
    <row r="403" spans="1:13">
      <c r="A403" s="2201" t="s">
        <v>731</v>
      </c>
      <c r="B403" s="2202"/>
      <c r="C403" s="2202"/>
      <c r="D403" s="2202"/>
      <c r="E403" s="2202"/>
      <c r="F403" s="2202"/>
      <c r="G403" s="2203"/>
      <c r="H403" s="657"/>
      <c r="I403" s="657"/>
      <c r="J403" s="657"/>
      <c r="K403" s="657"/>
      <c r="L403" s="657"/>
      <c r="M403" s="657"/>
    </row>
    <row r="404" spans="1:13">
      <c r="A404" s="816" t="s">
        <v>732</v>
      </c>
      <c r="B404" s="817">
        <v>1.5</v>
      </c>
      <c r="C404" s="817">
        <v>2.8</v>
      </c>
      <c r="D404" s="817">
        <f t="shared" ref="D404:D411" si="8">B404*C404</f>
        <v>4.1999999999999993</v>
      </c>
      <c r="E404" s="817"/>
      <c r="F404" s="817"/>
      <c r="G404" s="818">
        <f t="shared" ref="G404:G411" si="9">D404-F404</f>
        <v>4.1999999999999993</v>
      </c>
      <c r="H404" s="657"/>
      <c r="I404" s="657"/>
      <c r="J404" s="657"/>
      <c r="K404" s="657"/>
      <c r="L404" s="657"/>
      <c r="M404" s="657"/>
    </row>
    <row r="405" spans="1:13">
      <c r="A405" s="816" t="s">
        <v>733</v>
      </c>
      <c r="B405" s="819">
        <v>1.95</v>
      </c>
      <c r="C405" s="817">
        <v>2.8</v>
      </c>
      <c r="D405" s="817">
        <f t="shared" si="8"/>
        <v>5.46</v>
      </c>
      <c r="E405" s="820" t="s">
        <v>734</v>
      </c>
      <c r="F405" s="817">
        <f>0.8*2.1</f>
        <v>1.6800000000000002</v>
      </c>
      <c r="G405" s="818">
        <f t="shared" si="9"/>
        <v>3.78</v>
      </c>
      <c r="H405" s="657"/>
      <c r="I405" s="657"/>
      <c r="J405" s="657"/>
      <c r="K405" s="657"/>
      <c r="L405" s="657"/>
      <c r="M405" s="657"/>
    </row>
    <row r="406" spans="1:13" ht="36">
      <c r="A406" s="816" t="s">
        <v>735</v>
      </c>
      <c r="B406" s="817">
        <f>1.05+2.85+3.85+1.85+1.08+2</f>
        <v>12.68</v>
      </c>
      <c r="C406" s="817">
        <v>0.7</v>
      </c>
      <c r="D406" s="817">
        <f t="shared" si="8"/>
        <v>8.8759999999999994</v>
      </c>
      <c r="E406" s="817"/>
      <c r="F406" s="817"/>
      <c r="G406" s="818">
        <f t="shared" si="9"/>
        <v>8.8759999999999994</v>
      </c>
      <c r="H406" s="657"/>
      <c r="I406" s="672"/>
      <c r="J406" s="657"/>
      <c r="K406" s="657"/>
      <c r="L406" s="657"/>
      <c r="M406" s="657"/>
    </row>
    <row r="407" spans="1:13" ht="36">
      <c r="A407" s="816" t="s">
        <v>736</v>
      </c>
      <c r="B407" s="817">
        <f>1.05+2.85+3.85+1.85+1.08+2</f>
        <v>12.68</v>
      </c>
      <c r="C407" s="817">
        <v>0.7</v>
      </c>
      <c r="D407" s="817">
        <f t="shared" si="8"/>
        <v>8.8759999999999994</v>
      </c>
      <c r="E407" s="817"/>
      <c r="F407" s="817"/>
      <c r="G407" s="818">
        <f t="shared" si="9"/>
        <v>8.8759999999999994</v>
      </c>
      <c r="H407" s="657"/>
      <c r="I407" s="657"/>
      <c r="J407" s="657"/>
      <c r="K407" s="657"/>
      <c r="L407" s="657"/>
      <c r="M407" s="657"/>
    </row>
    <row r="408" spans="1:13" ht="24">
      <c r="A408" s="816" t="s">
        <v>737</v>
      </c>
      <c r="B408" s="817">
        <f>1.85+1.65+1.85+1.65</f>
        <v>7</v>
      </c>
      <c r="C408" s="817">
        <v>0.7</v>
      </c>
      <c r="D408" s="817">
        <f t="shared" si="8"/>
        <v>4.8999999999999995</v>
      </c>
      <c r="E408" s="820" t="s">
        <v>773</v>
      </c>
      <c r="F408" s="817">
        <f>0.4*0.6</f>
        <v>0.24</v>
      </c>
      <c r="G408" s="818">
        <f t="shared" si="9"/>
        <v>4.6599999999999993</v>
      </c>
      <c r="H408" s="657"/>
      <c r="I408" s="657"/>
      <c r="J408" s="657"/>
      <c r="K408" s="657"/>
      <c r="L408" s="657"/>
      <c r="M408" s="657"/>
    </row>
    <row r="409" spans="1:13" ht="24">
      <c r="A409" s="816" t="s">
        <v>738</v>
      </c>
      <c r="B409" s="817">
        <f>1.85+1.65+1.85+1.65</f>
        <v>7</v>
      </c>
      <c r="C409" s="817">
        <v>0.7</v>
      </c>
      <c r="D409" s="817">
        <f t="shared" si="8"/>
        <v>4.8999999999999995</v>
      </c>
      <c r="E409" s="820" t="s">
        <v>773</v>
      </c>
      <c r="F409" s="817">
        <f>0.4*0.6</f>
        <v>0.24</v>
      </c>
      <c r="G409" s="818">
        <f t="shared" si="9"/>
        <v>4.6599999999999993</v>
      </c>
      <c r="H409" s="657"/>
      <c r="I409" s="657"/>
      <c r="J409" s="657"/>
      <c r="K409" s="657"/>
      <c r="L409" s="657"/>
      <c r="M409" s="657"/>
    </row>
    <row r="410" spans="1:13" ht="24">
      <c r="A410" s="816" t="s">
        <v>739</v>
      </c>
      <c r="B410" s="817">
        <f>1.35+1.35+2.35+2.35</f>
        <v>7.4</v>
      </c>
      <c r="C410" s="817">
        <v>0.7</v>
      </c>
      <c r="D410" s="817">
        <f t="shared" si="8"/>
        <v>5.18</v>
      </c>
      <c r="E410" s="817"/>
      <c r="F410" s="817"/>
      <c r="G410" s="818">
        <f t="shared" si="9"/>
        <v>5.18</v>
      </c>
      <c r="H410" s="657"/>
      <c r="I410" s="657"/>
      <c r="J410" s="657"/>
      <c r="K410" s="657"/>
      <c r="L410" s="657"/>
      <c r="M410" s="657"/>
    </row>
    <row r="411" spans="1:13" ht="24">
      <c r="A411" s="816" t="s">
        <v>740</v>
      </c>
      <c r="B411" s="817">
        <f>3.85+3.85+2+2</f>
        <v>11.7</v>
      </c>
      <c r="C411" s="817">
        <v>0.7</v>
      </c>
      <c r="D411" s="817">
        <f t="shared" si="8"/>
        <v>8.19</v>
      </c>
      <c r="E411" s="817"/>
      <c r="F411" s="817"/>
      <c r="G411" s="818">
        <f t="shared" si="9"/>
        <v>8.19</v>
      </c>
      <c r="H411" s="657"/>
      <c r="I411" s="657"/>
      <c r="J411" s="657"/>
      <c r="K411" s="657"/>
      <c r="L411" s="657"/>
      <c r="M411" s="657"/>
    </row>
    <row r="412" spans="1:13">
      <c r="A412" s="2315"/>
      <c r="B412" s="2316"/>
      <c r="C412" s="2316"/>
      <c r="D412" s="2316"/>
      <c r="E412" s="2316"/>
      <c r="F412" s="2316"/>
      <c r="G412" s="2317"/>
      <c r="H412" s="657"/>
      <c r="I412" s="657"/>
      <c r="J412" s="657"/>
      <c r="K412" s="657"/>
      <c r="L412" s="657"/>
      <c r="M412" s="657"/>
    </row>
    <row r="413" spans="1:13">
      <c r="A413" s="2201" t="s">
        <v>741</v>
      </c>
      <c r="B413" s="2202"/>
      <c r="C413" s="2202"/>
      <c r="D413" s="2202"/>
      <c r="E413" s="2202"/>
      <c r="F413" s="2202"/>
      <c r="G413" s="2203"/>
      <c r="H413" s="657"/>
      <c r="I413" s="657"/>
      <c r="J413" s="657"/>
      <c r="K413" s="657"/>
      <c r="L413" s="657"/>
      <c r="M413" s="657"/>
    </row>
    <row r="414" spans="1:13">
      <c r="A414" s="816" t="s">
        <v>742</v>
      </c>
      <c r="B414" s="817">
        <v>3.5</v>
      </c>
      <c r="C414" s="817">
        <v>2.8</v>
      </c>
      <c r="D414" s="817">
        <f t="shared" ref="D414:D425" si="10">B414*C414</f>
        <v>9.7999999999999989</v>
      </c>
      <c r="E414" s="820" t="s">
        <v>734</v>
      </c>
      <c r="F414" s="817">
        <f>0.8*2.1</f>
        <v>1.6800000000000002</v>
      </c>
      <c r="G414" s="818">
        <f t="shared" ref="G414:G425" si="11">D414-F414</f>
        <v>8.1199999999999992</v>
      </c>
      <c r="H414" s="657"/>
      <c r="I414" s="657"/>
      <c r="J414" s="657"/>
      <c r="K414" s="657"/>
      <c r="L414" s="657"/>
      <c r="M414" s="657"/>
    </row>
    <row r="415" spans="1:13" ht="36">
      <c r="A415" s="816" t="s">
        <v>743</v>
      </c>
      <c r="B415" s="817">
        <f>3.15+3.5</f>
        <v>6.65</v>
      </c>
      <c r="C415" s="817">
        <v>2.8</v>
      </c>
      <c r="D415" s="817">
        <f t="shared" si="10"/>
        <v>18.62</v>
      </c>
      <c r="E415" s="820" t="s">
        <v>744</v>
      </c>
      <c r="F415" s="817">
        <f>(0.8*2.1)+(1.1*0.6*2)</f>
        <v>3</v>
      </c>
      <c r="G415" s="818">
        <f t="shared" si="11"/>
        <v>15.620000000000001</v>
      </c>
      <c r="H415" s="657"/>
      <c r="I415" s="657"/>
      <c r="J415" s="657"/>
      <c r="K415" s="657"/>
      <c r="L415" s="657"/>
      <c r="M415" s="657"/>
    </row>
    <row r="416" spans="1:13">
      <c r="A416" s="816" t="s">
        <v>745</v>
      </c>
      <c r="B416" s="817">
        <f>3.35+3.15</f>
        <v>6.5</v>
      </c>
      <c r="C416" s="817">
        <v>2.8</v>
      </c>
      <c r="D416" s="817">
        <f t="shared" si="10"/>
        <v>18.2</v>
      </c>
      <c r="E416" s="817"/>
      <c r="F416" s="817"/>
      <c r="G416" s="818">
        <f t="shared" si="11"/>
        <v>18.2</v>
      </c>
      <c r="H416" s="657"/>
      <c r="I416" s="657"/>
      <c r="J416" s="657"/>
      <c r="K416" s="657"/>
      <c r="L416" s="657"/>
      <c r="M416" s="657"/>
    </row>
    <row r="417" spans="1:13" ht="24">
      <c r="A417" s="816" t="s">
        <v>746</v>
      </c>
      <c r="B417" s="817">
        <v>8</v>
      </c>
      <c r="C417" s="817">
        <v>2.8</v>
      </c>
      <c r="D417" s="817">
        <f t="shared" si="10"/>
        <v>22.4</v>
      </c>
      <c r="E417" s="820" t="s">
        <v>747</v>
      </c>
      <c r="F417" s="817">
        <f>(2.2*1.1)+(0.8*2.1)</f>
        <v>4.1000000000000005</v>
      </c>
      <c r="G417" s="818">
        <f t="shared" si="11"/>
        <v>18.299999999999997</v>
      </c>
      <c r="H417" s="657"/>
      <c r="I417" s="657"/>
      <c r="J417" s="657"/>
      <c r="K417" s="657"/>
      <c r="L417" s="657"/>
      <c r="M417" s="657"/>
    </row>
    <row r="418" spans="1:13" ht="24">
      <c r="A418" s="816" t="s">
        <v>746</v>
      </c>
      <c r="B418" s="817">
        <v>8</v>
      </c>
      <c r="C418" s="817">
        <v>2.8</v>
      </c>
      <c r="D418" s="817">
        <f t="shared" si="10"/>
        <v>22.4</v>
      </c>
      <c r="E418" s="817"/>
      <c r="F418" s="817"/>
      <c r="G418" s="818">
        <f t="shared" si="11"/>
        <v>22.4</v>
      </c>
      <c r="H418" s="657"/>
      <c r="I418" s="657"/>
      <c r="J418" s="657"/>
      <c r="K418" s="657"/>
      <c r="L418" s="657"/>
      <c r="M418" s="657"/>
    </row>
    <row r="419" spans="1:13">
      <c r="A419" s="816" t="s">
        <v>748</v>
      </c>
      <c r="B419" s="817">
        <v>3.5</v>
      </c>
      <c r="C419" s="817">
        <v>2.8</v>
      </c>
      <c r="D419" s="817">
        <f t="shared" si="10"/>
        <v>9.7999999999999989</v>
      </c>
      <c r="E419" s="820" t="s">
        <v>749</v>
      </c>
      <c r="F419" s="817">
        <f>2.2*1.1</f>
        <v>2.4200000000000004</v>
      </c>
      <c r="G419" s="818">
        <f t="shared" si="11"/>
        <v>7.379999999999999</v>
      </c>
      <c r="H419" s="657"/>
      <c r="I419" s="657"/>
      <c r="J419" s="657"/>
      <c r="K419" s="657"/>
      <c r="L419" s="657"/>
      <c r="M419" s="657"/>
    </row>
    <row r="420" spans="1:13">
      <c r="A420" s="816" t="s">
        <v>750</v>
      </c>
      <c r="B420" s="817">
        <f>2.55+2</f>
        <v>4.55</v>
      </c>
      <c r="C420" s="817">
        <v>2.8</v>
      </c>
      <c r="D420" s="817">
        <f t="shared" si="10"/>
        <v>12.739999999999998</v>
      </c>
      <c r="E420" s="817"/>
      <c r="F420" s="817"/>
      <c r="G420" s="818">
        <f t="shared" si="11"/>
        <v>12.739999999999998</v>
      </c>
      <c r="H420" s="657"/>
      <c r="I420" s="657"/>
      <c r="J420" s="657"/>
      <c r="K420" s="657"/>
      <c r="L420" s="657"/>
      <c r="M420" s="657"/>
    </row>
    <row r="421" spans="1:13" ht="24">
      <c r="A421" s="821" t="s">
        <v>751</v>
      </c>
      <c r="B421" s="822">
        <v>4</v>
      </c>
      <c r="C421" s="823">
        <v>2.8</v>
      </c>
      <c r="D421" s="823">
        <f t="shared" si="10"/>
        <v>11.2</v>
      </c>
      <c r="E421" s="824" t="s">
        <v>752</v>
      </c>
      <c r="F421" s="823">
        <f>(1.3*2.1)+(2.3*1.1)</f>
        <v>5.26</v>
      </c>
      <c r="G421" s="825">
        <f t="shared" si="11"/>
        <v>5.9399999999999995</v>
      </c>
      <c r="H421" s="657"/>
      <c r="I421" s="657"/>
      <c r="J421" s="657"/>
      <c r="K421" s="657"/>
      <c r="L421" s="657"/>
      <c r="M421" s="657"/>
    </row>
    <row r="422" spans="1:13" ht="36">
      <c r="A422" s="821" t="s">
        <v>753</v>
      </c>
      <c r="B422" s="822">
        <f>2.15+1.35+1.5</f>
        <v>5</v>
      </c>
      <c r="C422" s="823">
        <v>5.23</v>
      </c>
      <c r="D422" s="823">
        <f t="shared" si="10"/>
        <v>26.150000000000002</v>
      </c>
      <c r="E422" s="824" t="s">
        <v>754</v>
      </c>
      <c r="F422" s="823">
        <f>1.2*1.1+(0.8*2.1)+(0.9*2.1)</f>
        <v>4.8900000000000006</v>
      </c>
      <c r="G422" s="825">
        <f t="shared" si="11"/>
        <v>21.26</v>
      </c>
      <c r="H422" s="657"/>
      <c r="I422" s="657"/>
      <c r="J422" s="657"/>
      <c r="K422" s="657"/>
      <c r="L422" s="657"/>
      <c r="M422" s="657"/>
    </row>
    <row r="423" spans="1:13">
      <c r="A423" s="821" t="s">
        <v>755</v>
      </c>
      <c r="B423" s="822">
        <v>1.5</v>
      </c>
      <c r="C423" s="823">
        <v>5.23</v>
      </c>
      <c r="D423" s="823">
        <f t="shared" si="10"/>
        <v>7.8450000000000006</v>
      </c>
      <c r="E423" s="823"/>
      <c r="F423" s="823"/>
      <c r="G423" s="825">
        <f t="shared" si="11"/>
        <v>7.8450000000000006</v>
      </c>
      <c r="H423" s="657"/>
      <c r="I423" s="657"/>
      <c r="J423" s="657"/>
      <c r="K423" s="657"/>
      <c r="L423" s="657"/>
      <c r="M423" s="657"/>
    </row>
    <row r="424" spans="1:13" ht="48">
      <c r="A424" s="821" t="s">
        <v>756</v>
      </c>
      <c r="B424" s="822">
        <f>4.6+9.6</f>
        <v>14.2</v>
      </c>
      <c r="C424" s="823">
        <v>4.7300000000000004</v>
      </c>
      <c r="D424" s="823">
        <f t="shared" si="10"/>
        <v>67.165999999999997</v>
      </c>
      <c r="E424" s="824" t="s">
        <v>757</v>
      </c>
      <c r="F424" s="823">
        <f>2.3*1.1*2+(0.8*2.1)+(1*2.1)</f>
        <v>8.84</v>
      </c>
      <c r="G424" s="825">
        <f t="shared" si="11"/>
        <v>58.325999999999993</v>
      </c>
      <c r="H424" s="657"/>
      <c r="I424" s="657"/>
      <c r="J424" s="657"/>
      <c r="K424" s="657"/>
      <c r="L424" s="657"/>
      <c r="M424" s="657"/>
    </row>
    <row r="425" spans="1:13">
      <c r="A425" s="821" t="s">
        <v>758</v>
      </c>
      <c r="B425" s="822">
        <v>4.5999999999999996</v>
      </c>
      <c r="C425" s="823">
        <v>1.93</v>
      </c>
      <c r="D425" s="823">
        <f t="shared" si="10"/>
        <v>8.8779999999999983</v>
      </c>
      <c r="E425" s="823"/>
      <c r="F425" s="823"/>
      <c r="G425" s="825">
        <f t="shared" si="11"/>
        <v>8.8779999999999983</v>
      </c>
      <c r="H425" s="657"/>
      <c r="I425" s="657"/>
      <c r="J425" s="657"/>
      <c r="K425" s="657"/>
      <c r="L425" s="657"/>
      <c r="M425" s="657"/>
    </row>
    <row r="426" spans="1:13">
      <c r="A426" s="2315"/>
      <c r="B426" s="2316"/>
      <c r="C426" s="2316"/>
      <c r="D426" s="2316"/>
      <c r="E426" s="2316"/>
      <c r="F426" s="2316"/>
      <c r="G426" s="2317"/>
      <c r="H426" s="657"/>
      <c r="I426" s="657"/>
      <c r="J426" s="657"/>
      <c r="K426" s="657"/>
      <c r="L426" s="657"/>
      <c r="M426" s="657"/>
    </row>
    <row r="427" spans="1:13">
      <c r="A427" s="2201" t="s">
        <v>759</v>
      </c>
      <c r="B427" s="2202"/>
      <c r="C427" s="2202"/>
      <c r="D427" s="2202"/>
      <c r="E427" s="2202"/>
      <c r="F427" s="2202"/>
      <c r="G427" s="2203"/>
      <c r="H427" s="657"/>
      <c r="I427" s="657"/>
      <c r="J427" s="657"/>
      <c r="K427" s="657"/>
      <c r="L427" s="657"/>
      <c r="M427" s="657"/>
    </row>
    <row r="428" spans="1:13" ht="36">
      <c r="A428" s="816" t="s">
        <v>760</v>
      </c>
      <c r="B428" s="826">
        <f>7.5+4.65</f>
        <v>12.15</v>
      </c>
      <c r="C428" s="817">
        <v>2.8</v>
      </c>
      <c r="D428" s="817">
        <f t="shared" ref="D428:D436" si="12">B428*C428</f>
        <v>34.019999999999996</v>
      </c>
      <c r="E428" s="820" t="s">
        <v>761</v>
      </c>
      <c r="F428" s="817">
        <f>(1.6*2.1)+(3*1.1*0.6)</f>
        <v>5.34</v>
      </c>
      <c r="G428" s="818">
        <f t="shared" ref="G428:G436" si="13">D428-F428</f>
        <v>28.679999999999996</v>
      </c>
      <c r="H428" s="657"/>
      <c r="I428" s="657"/>
      <c r="J428" s="657"/>
      <c r="K428" s="657"/>
      <c r="L428" s="657"/>
      <c r="M428" s="657"/>
    </row>
    <row r="429" spans="1:13" ht="24">
      <c r="A429" s="816" t="s">
        <v>760</v>
      </c>
      <c r="B429" s="826">
        <f>7.5+4.65</f>
        <v>12.15</v>
      </c>
      <c r="C429" s="817">
        <v>2.8</v>
      </c>
      <c r="D429" s="817">
        <f t="shared" si="12"/>
        <v>34.019999999999996</v>
      </c>
      <c r="E429" s="817"/>
      <c r="F429" s="817"/>
      <c r="G429" s="818">
        <f t="shared" si="13"/>
        <v>34.019999999999996</v>
      </c>
      <c r="H429" s="657"/>
      <c r="I429" s="657"/>
      <c r="J429" s="657"/>
      <c r="K429" s="657"/>
      <c r="L429" s="657"/>
      <c r="M429" s="657"/>
    </row>
    <row r="430" spans="1:13" ht="36">
      <c r="A430" s="816" t="s">
        <v>762</v>
      </c>
      <c r="B430" s="819">
        <f>8.85+10.35</f>
        <v>19.2</v>
      </c>
      <c r="C430" s="817">
        <v>2.8</v>
      </c>
      <c r="D430" s="817">
        <f t="shared" si="12"/>
        <v>53.76</v>
      </c>
      <c r="E430" s="820" t="s">
        <v>763</v>
      </c>
      <c r="F430" s="817">
        <f>2.3*1.1*5</f>
        <v>12.649999999999999</v>
      </c>
      <c r="G430" s="818">
        <f t="shared" si="13"/>
        <v>41.11</v>
      </c>
      <c r="H430" s="657"/>
      <c r="I430" s="657"/>
      <c r="J430" s="657"/>
      <c r="K430" s="657"/>
      <c r="L430" s="657"/>
      <c r="M430" s="657"/>
    </row>
    <row r="431" spans="1:13" ht="24">
      <c r="A431" s="816" t="s">
        <v>764</v>
      </c>
      <c r="B431" s="819">
        <f>4.65+4</f>
        <v>8.65</v>
      </c>
      <c r="C431" s="817">
        <v>2.8</v>
      </c>
      <c r="D431" s="817">
        <f t="shared" si="12"/>
        <v>24.22</v>
      </c>
      <c r="E431" s="817"/>
      <c r="F431" s="817"/>
      <c r="G431" s="818">
        <f t="shared" si="13"/>
        <v>24.22</v>
      </c>
      <c r="H431" s="657"/>
      <c r="I431" s="657"/>
      <c r="J431" s="657"/>
      <c r="K431" s="657"/>
      <c r="L431" s="657"/>
      <c r="M431" s="657"/>
    </row>
    <row r="432" spans="1:13">
      <c r="A432" s="816" t="s">
        <v>765</v>
      </c>
      <c r="B432" s="819">
        <v>5.5</v>
      </c>
      <c r="C432" s="817">
        <v>2.8</v>
      </c>
      <c r="D432" s="817">
        <f t="shared" si="12"/>
        <v>15.399999999999999</v>
      </c>
      <c r="E432" s="820" t="s">
        <v>766</v>
      </c>
      <c r="F432" s="817">
        <f>2.3*1.1</f>
        <v>2.5299999999999998</v>
      </c>
      <c r="G432" s="818">
        <f t="shared" si="13"/>
        <v>12.87</v>
      </c>
      <c r="H432" s="657"/>
      <c r="I432" s="657"/>
      <c r="J432" s="657"/>
      <c r="K432" s="657"/>
      <c r="L432" s="657"/>
      <c r="M432" s="657"/>
    </row>
    <row r="433" spans="1:13">
      <c r="A433" s="816" t="s">
        <v>767</v>
      </c>
      <c r="B433" s="819">
        <v>4.5</v>
      </c>
      <c r="C433" s="817">
        <v>2.8</v>
      </c>
      <c r="D433" s="817">
        <f t="shared" si="12"/>
        <v>12.6</v>
      </c>
      <c r="E433" s="817"/>
      <c r="F433" s="817"/>
      <c r="G433" s="818">
        <f t="shared" si="13"/>
        <v>12.6</v>
      </c>
      <c r="H433" s="657"/>
      <c r="I433" s="657"/>
      <c r="J433" s="657"/>
      <c r="K433" s="657"/>
      <c r="L433" s="657"/>
      <c r="M433" s="657"/>
    </row>
    <row r="434" spans="1:13">
      <c r="A434" s="821" t="s">
        <v>768</v>
      </c>
      <c r="B434" s="822">
        <v>5</v>
      </c>
      <c r="C434" s="823">
        <v>2.8</v>
      </c>
      <c r="D434" s="823">
        <f t="shared" si="12"/>
        <v>14</v>
      </c>
      <c r="E434" s="823"/>
      <c r="F434" s="823"/>
      <c r="G434" s="825">
        <f t="shared" si="13"/>
        <v>14</v>
      </c>
      <c r="H434" s="657"/>
      <c r="I434" s="657"/>
      <c r="J434" s="657"/>
      <c r="K434" s="657"/>
      <c r="L434" s="657"/>
      <c r="M434" s="657"/>
    </row>
    <row r="435" spans="1:13">
      <c r="A435" s="821" t="s">
        <v>769</v>
      </c>
      <c r="B435" s="822">
        <v>9</v>
      </c>
      <c r="C435" s="823">
        <v>2.8</v>
      </c>
      <c r="D435" s="823">
        <f t="shared" si="12"/>
        <v>25.2</v>
      </c>
      <c r="E435" s="823"/>
      <c r="F435" s="823"/>
      <c r="G435" s="825">
        <f t="shared" si="13"/>
        <v>25.2</v>
      </c>
      <c r="H435" s="657"/>
      <c r="I435" s="657"/>
      <c r="J435" s="657"/>
      <c r="K435" s="657"/>
      <c r="L435" s="657"/>
      <c r="M435" s="657"/>
    </row>
    <row r="436" spans="1:13" ht="48">
      <c r="A436" s="821" t="s">
        <v>770</v>
      </c>
      <c r="B436" s="822">
        <v>6.15</v>
      </c>
      <c r="C436" s="823">
        <v>5.23</v>
      </c>
      <c r="D436" s="823">
        <f t="shared" si="12"/>
        <v>32.164500000000004</v>
      </c>
      <c r="E436" s="824" t="s">
        <v>771</v>
      </c>
      <c r="F436" s="823">
        <f>(0.8*2.1*4)+(0.4*0.6*2)</f>
        <v>7.2000000000000011</v>
      </c>
      <c r="G436" s="825">
        <f t="shared" si="13"/>
        <v>24.964500000000001</v>
      </c>
      <c r="H436" s="657"/>
      <c r="I436" s="657"/>
      <c r="J436" s="657"/>
      <c r="K436" s="657"/>
      <c r="L436" s="657"/>
      <c r="M436" s="657"/>
    </row>
    <row r="437" spans="1:13">
      <c r="A437" s="2315"/>
      <c r="B437" s="2316"/>
      <c r="C437" s="2316"/>
      <c r="D437" s="2316"/>
      <c r="E437" s="2316"/>
      <c r="F437" s="2316"/>
      <c r="G437" s="2317"/>
      <c r="H437" s="657"/>
      <c r="I437" s="657"/>
      <c r="J437" s="657"/>
      <c r="K437" s="657"/>
      <c r="L437" s="657"/>
      <c r="M437" s="657"/>
    </row>
    <row r="438" spans="1:13">
      <c r="A438" s="2273" t="s">
        <v>2054</v>
      </c>
      <c r="B438" s="2190"/>
      <c r="C438" s="2190"/>
      <c r="D438" s="2190"/>
      <c r="E438" s="2190"/>
      <c r="F438" s="2190"/>
      <c r="G438" s="2191"/>
      <c r="H438" s="657"/>
      <c r="I438" s="827"/>
      <c r="J438" s="657"/>
      <c r="K438" s="657"/>
      <c r="L438" s="657"/>
      <c r="M438" s="657"/>
    </row>
    <row r="439" spans="1:13">
      <c r="A439" s="2337"/>
      <c r="B439" s="2338"/>
      <c r="C439" s="2343" t="s">
        <v>731</v>
      </c>
      <c r="D439" s="2344"/>
      <c r="E439" s="2344"/>
      <c r="F439" s="2345"/>
      <c r="G439" s="818"/>
      <c r="H439" s="657"/>
      <c r="I439" s="657"/>
      <c r="J439" s="657"/>
      <c r="K439" s="657"/>
      <c r="L439" s="657"/>
      <c r="M439" s="657"/>
    </row>
    <row r="440" spans="1:13">
      <c r="A440" s="2339"/>
      <c r="B440" s="2340"/>
      <c r="C440" s="2198" t="s">
        <v>307</v>
      </c>
      <c r="D440" s="2199"/>
      <c r="E440" s="2199"/>
      <c r="F440" s="2200"/>
      <c r="G440" s="811">
        <f>ROUNDUP(G404+G405+G406+G407+G408+G409+G410+G411,2)</f>
        <v>48.43</v>
      </c>
      <c r="H440" s="657"/>
      <c r="I440" s="657"/>
      <c r="J440" s="657"/>
      <c r="K440" s="657"/>
      <c r="L440" s="657"/>
      <c r="M440" s="657"/>
    </row>
    <row r="441" spans="1:13">
      <c r="A441" s="2339"/>
      <c r="B441" s="2340"/>
      <c r="C441" s="2343" t="s">
        <v>741</v>
      </c>
      <c r="D441" s="2344"/>
      <c r="E441" s="2344"/>
      <c r="F441" s="2345"/>
      <c r="G441" s="828"/>
      <c r="H441" s="657"/>
      <c r="I441" s="657"/>
      <c r="J441" s="657"/>
      <c r="K441" s="657"/>
      <c r="L441" s="657"/>
      <c r="M441" s="657"/>
    </row>
    <row r="442" spans="1:13">
      <c r="A442" s="2339"/>
      <c r="B442" s="2340"/>
      <c r="C442" s="2198" t="s">
        <v>307</v>
      </c>
      <c r="D442" s="2199"/>
      <c r="E442" s="2199"/>
      <c r="F442" s="2200"/>
      <c r="G442" s="811">
        <f>ROUNDUP(G414+G415+G416+G417+G418+G419+G420+G421+G422+G423+G424+G425,2)</f>
        <v>205.01</v>
      </c>
      <c r="H442" s="657"/>
      <c r="I442" s="657"/>
      <c r="J442" s="657"/>
      <c r="K442" s="657"/>
      <c r="L442" s="657"/>
      <c r="M442" s="657"/>
    </row>
    <row r="443" spans="1:13">
      <c r="A443" s="2339"/>
      <c r="B443" s="2340"/>
      <c r="C443" s="2343" t="s">
        <v>759</v>
      </c>
      <c r="D443" s="2344"/>
      <c r="E443" s="2344"/>
      <c r="F443" s="2345"/>
      <c r="G443" s="828"/>
      <c r="H443" s="657"/>
      <c r="I443" s="657"/>
      <c r="J443" s="657"/>
      <c r="K443" s="657"/>
      <c r="L443" s="657"/>
      <c r="M443" s="657"/>
    </row>
    <row r="444" spans="1:13">
      <c r="A444" s="2341"/>
      <c r="B444" s="2342"/>
      <c r="C444" s="2198" t="s">
        <v>307</v>
      </c>
      <c r="D444" s="2199"/>
      <c r="E444" s="2199"/>
      <c r="F444" s="2200"/>
      <c r="G444" s="811">
        <f>ROUNDUP(G428+G434+G435+G429+G430+G432+G433+G436,2)</f>
        <v>193.45</v>
      </c>
      <c r="H444" s="657"/>
      <c r="I444" s="657"/>
      <c r="J444" s="657"/>
      <c r="K444" s="657"/>
      <c r="L444" s="657"/>
      <c r="M444" s="657"/>
    </row>
    <row r="445" spans="1:13" ht="15.75" thickBot="1">
      <c r="A445" s="2318" t="s">
        <v>340</v>
      </c>
      <c r="B445" s="2319"/>
      <c r="C445" s="2319"/>
      <c r="D445" s="2319"/>
      <c r="E445" s="2319"/>
      <c r="F445" s="2320"/>
      <c r="G445" s="832">
        <f>ROUNDUP(G440+G442+G444,2)</f>
        <v>446.89</v>
      </c>
      <c r="H445" s="657"/>
      <c r="I445" s="750"/>
      <c r="J445" s="657"/>
      <c r="K445" s="657"/>
      <c r="L445" s="657"/>
      <c r="M445" s="657"/>
    </row>
    <row r="446" spans="1:13" ht="15.75" thickBot="1">
      <c r="A446" s="829"/>
      <c r="B446" s="830"/>
      <c r="C446" s="830"/>
      <c r="D446" s="830"/>
      <c r="E446" s="830"/>
      <c r="F446" s="830"/>
      <c r="G446" s="831"/>
      <c r="H446" s="657"/>
      <c r="I446" s="657"/>
      <c r="J446" s="657"/>
      <c r="K446" s="657"/>
      <c r="L446" s="657"/>
      <c r="M446" s="657"/>
    </row>
    <row r="447" spans="1:13" ht="15.75" thickBot="1">
      <c r="A447" s="671" t="s">
        <v>111</v>
      </c>
      <c r="B447" s="2180" t="s">
        <v>774</v>
      </c>
      <c r="C447" s="2181"/>
      <c r="D447" s="2181"/>
      <c r="E447" s="2181"/>
      <c r="F447" s="2181"/>
      <c r="G447" s="2182"/>
      <c r="H447" s="657"/>
      <c r="I447" s="672" t="s">
        <v>457</v>
      </c>
      <c r="J447" s="657"/>
      <c r="K447" s="657"/>
      <c r="L447" s="657"/>
      <c r="M447" s="657"/>
    </row>
    <row r="448" spans="1:13">
      <c r="A448" s="2213" t="s">
        <v>303</v>
      </c>
      <c r="B448" s="2214"/>
      <c r="C448" s="2214"/>
      <c r="D448" s="2214"/>
      <c r="E448" s="2214"/>
      <c r="F448" s="2214"/>
      <c r="G448" s="2215"/>
      <c r="H448" s="657"/>
      <c r="I448" s="657"/>
      <c r="J448" s="657"/>
      <c r="K448" s="657"/>
      <c r="L448" s="657"/>
      <c r="M448" s="657"/>
    </row>
    <row r="449" spans="1:13">
      <c r="A449" s="2291" t="s">
        <v>385</v>
      </c>
      <c r="B449" s="2292"/>
      <c r="C449" s="2292"/>
      <c r="D449" s="2292"/>
      <c r="E449" s="2292"/>
      <c r="F449" s="2292"/>
      <c r="G449" s="2293"/>
      <c r="H449" s="657"/>
      <c r="I449" s="657"/>
      <c r="J449" s="657"/>
      <c r="K449" s="657"/>
      <c r="L449" s="657"/>
      <c r="M449" s="657"/>
    </row>
    <row r="450" spans="1:13">
      <c r="A450" s="686" t="s">
        <v>322</v>
      </c>
      <c r="B450" s="687" t="s">
        <v>322</v>
      </c>
      <c r="C450" s="687" t="s">
        <v>332</v>
      </c>
      <c r="D450" s="687" t="s">
        <v>333</v>
      </c>
      <c r="E450" s="687" t="s">
        <v>334</v>
      </c>
      <c r="F450" s="687" t="s">
        <v>335</v>
      </c>
      <c r="G450" s="745" t="s">
        <v>336</v>
      </c>
      <c r="H450" s="657"/>
      <c r="I450" s="657"/>
      <c r="J450" s="657"/>
      <c r="K450" s="657"/>
      <c r="L450" s="657"/>
      <c r="M450" s="657"/>
    </row>
    <row r="451" spans="1:13">
      <c r="A451" s="2201" t="s">
        <v>731</v>
      </c>
      <c r="B451" s="2202"/>
      <c r="C451" s="2202"/>
      <c r="D451" s="2202"/>
      <c r="E451" s="2202"/>
      <c r="F451" s="2202"/>
      <c r="G451" s="2203"/>
      <c r="H451" s="657"/>
      <c r="I451" s="657"/>
      <c r="J451" s="657"/>
      <c r="K451" s="657"/>
      <c r="L451" s="657"/>
      <c r="M451" s="657"/>
    </row>
    <row r="452" spans="1:13" ht="24">
      <c r="A452" s="701" t="s">
        <v>775</v>
      </c>
      <c r="B452" s="723">
        <f>1.05+2.85</f>
        <v>3.9000000000000004</v>
      </c>
      <c r="C452" s="723">
        <v>2.1</v>
      </c>
      <c r="D452" s="723">
        <f t="shared" ref="D452:D457" si="14">B452*C452</f>
        <v>8.1900000000000013</v>
      </c>
      <c r="E452" s="747" t="s">
        <v>776</v>
      </c>
      <c r="F452" s="723">
        <f>(0.8*2.1)+(1.1*0.6)</f>
        <v>2.3400000000000003</v>
      </c>
      <c r="G452" s="748">
        <f t="shared" ref="G452:G460" si="15">D452-F452</f>
        <v>5.8500000000000014</v>
      </c>
      <c r="H452" s="657"/>
      <c r="I452" s="657"/>
      <c r="J452" s="657"/>
      <c r="K452" s="657"/>
      <c r="L452" s="657"/>
      <c r="M452" s="657"/>
    </row>
    <row r="453" spans="1:13" ht="24">
      <c r="A453" s="701" t="s">
        <v>777</v>
      </c>
      <c r="B453" s="805">
        <f>1.85+1.08+2</f>
        <v>4.93</v>
      </c>
      <c r="C453" s="723">
        <v>2.1</v>
      </c>
      <c r="D453" s="723">
        <f t="shared" si="14"/>
        <v>10.353</v>
      </c>
      <c r="E453" s="723"/>
      <c r="F453" s="723"/>
      <c r="G453" s="748">
        <f t="shared" si="15"/>
        <v>10.353</v>
      </c>
      <c r="H453" s="657"/>
      <c r="I453" s="657"/>
      <c r="J453" s="657"/>
      <c r="K453" s="657"/>
      <c r="L453" s="657"/>
      <c r="M453" s="657"/>
    </row>
    <row r="454" spans="1:13" ht="24">
      <c r="A454" s="701" t="s">
        <v>778</v>
      </c>
      <c r="B454" s="723">
        <f>1.05+2.85</f>
        <v>3.9000000000000004</v>
      </c>
      <c r="C454" s="723">
        <v>2.1</v>
      </c>
      <c r="D454" s="723">
        <f t="shared" si="14"/>
        <v>8.1900000000000013</v>
      </c>
      <c r="E454" s="747" t="s">
        <v>776</v>
      </c>
      <c r="F454" s="723">
        <f>(0.8*2.1)+(1.1*0.6)</f>
        <v>2.3400000000000003</v>
      </c>
      <c r="G454" s="748">
        <f t="shared" si="15"/>
        <v>5.8500000000000014</v>
      </c>
      <c r="H454" s="657"/>
      <c r="I454" s="657"/>
      <c r="J454" s="657"/>
      <c r="K454" s="657"/>
      <c r="L454" s="657"/>
      <c r="M454" s="657"/>
    </row>
    <row r="455" spans="1:13" ht="24">
      <c r="A455" s="701" t="s">
        <v>779</v>
      </c>
      <c r="B455" s="805">
        <f>1.85+1.08+2</f>
        <v>4.93</v>
      </c>
      <c r="C455" s="723">
        <v>2.1</v>
      </c>
      <c r="D455" s="723">
        <f t="shared" si="14"/>
        <v>10.353</v>
      </c>
      <c r="E455" s="723"/>
      <c r="F455" s="723"/>
      <c r="G455" s="748">
        <f t="shared" si="15"/>
        <v>10.353</v>
      </c>
      <c r="H455" s="657"/>
      <c r="I455" s="657"/>
      <c r="J455" s="657"/>
      <c r="K455" s="657"/>
      <c r="L455" s="657"/>
      <c r="M455" s="657"/>
    </row>
    <row r="456" spans="1:13" ht="24">
      <c r="A456" s="701" t="s">
        <v>780</v>
      </c>
      <c r="B456" s="723">
        <f>1.35*2</f>
        <v>2.7</v>
      </c>
      <c r="C456" s="723">
        <v>2.1</v>
      </c>
      <c r="D456" s="723">
        <f t="shared" si="14"/>
        <v>5.6700000000000008</v>
      </c>
      <c r="E456" s="747" t="s">
        <v>776</v>
      </c>
      <c r="F456" s="723">
        <f>(0.8*2.1)+(1.1*0.6)</f>
        <v>2.3400000000000003</v>
      </c>
      <c r="G456" s="748">
        <f t="shared" si="15"/>
        <v>3.3300000000000005</v>
      </c>
      <c r="H456" s="657"/>
      <c r="I456" s="657"/>
      <c r="J456" s="657"/>
      <c r="K456" s="657"/>
      <c r="L456" s="657"/>
      <c r="M456" s="657"/>
    </row>
    <row r="457" spans="1:13">
      <c r="A457" s="701" t="s">
        <v>781</v>
      </c>
      <c r="B457" s="723">
        <f>2.35+2.35</f>
        <v>4.7</v>
      </c>
      <c r="C457" s="723">
        <v>2.1</v>
      </c>
      <c r="D457" s="723">
        <f t="shared" si="14"/>
        <v>9.870000000000001</v>
      </c>
      <c r="E457" s="723"/>
      <c r="F457" s="723"/>
      <c r="G457" s="748">
        <f t="shared" si="15"/>
        <v>9.870000000000001</v>
      </c>
      <c r="H457" s="657"/>
      <c r="I457" s="657"/>
      <c r="J457" s="657"/>
      <c r="K457" s="657"/>
      <c r="L457" s="657"/>
      <c r="M457" s="657"/>
    </row>
    <row r="458" spans="1:13" ht="24">
      <c r="A458" s="701" t="s">
        <v>782</v>
      </c>
      <c r="B458" s="723">
        <v>4</v>
      </c>
      <c r="C458" s="723">
        <v>2.1</v>
      </c>
      <c r="D458" s="723">
        <f>4*2.1</f>
        <v>8.4</v>
      </c>
      <c r="E458" s="747" t="s">
        <v>783</v>
      </c>
      <c r="F458" s="723">
        <f>(0.6*1.1)+(1.2*1.1)</f>
        <v>1.98</v>
      </c>
      <c r="G458" s="748">
        <f t="shared" si="15"/>
        <v>6.42</v>
      </c>
      <c r="H458" s="657"/>
      <c r="I458" s="657"/>
      <c r="J458" s="657"/>
      <c r="K458" s="657"/>
      <c r="L458" s="657"/>
      <c r="M458" s="657"/>
    </row>
    <row r="459" spans="1:13" ht="36">
      <c r="A459" s="701" t="s">
        <v>784</v>
      </c>
      <c r="B459" s="723">
        <f>1.85+1.65+1.65+1.85</f>
        <v>7</v>
      </c>
      <c r="C459" s="723">
        <v>2.1</v>
      </c>
      <c r="D459" s="723">
        <f>4*2.1</f>
        <v>8.4</v>
      </c>
      <c r="E459" s="747" t="s">
        <v>785</v>
      </c>
      <c r="F459" s="723">
        <f>(0.8*2.1)+(0.4*0.6)</f>
        <v>1.9200000000000002</v>
      </c>
      <c r="G459" s="748">
        <f t="shared" si="15"/>
        <v>6.48</v>
      </c>
      <c r="H459" s="657"/>
      <c r="I459" s="657"/>
      <c r="J459" s="657"/>
      <c r="K459" s="657"/>
      <c r="L459" s="657"/>
      <c r="M459" s="657"/>
    </row>
    <row r="460" spans="1:13" ht="36">
      <c r="A460" s="701" t="s">
        <v>786</v>
      </c>
      <c r="B460" s="723">
        <f>1.85+1.65+1.65+1.85</f>
        <v>7</v>
      </c>
      <c r="C460" s="723">
        <v>2.1</v>
      </c>
      <c r="D460" s="723">
        <f>4*2.1</f>
        <v>8.4</v>
      </c>
      <c r="E460" s="747" t="s">
        <v>785</v>
      </c>
      <c r="F460" s="723">
        <f>(0.8*2.1)+(0.4*0.6)</f>
        <v>1.9200000000000002</v>
      </c>
      <c r="G460" s="748">
        <f t="shared" si="15"/>
        <v>6.48</v>
      </c>
      <c r="H460" s="657"/>
      <c r="I460" s="657"/>
      <c r="J460" s="657"/>
      <c r="K460" s="657"/>
      <c r="L460" s="657"/>
      <c r="M460" s="657"/>
    </row>
    <row r="461" spans="1:13">
      <c r="A461" s="2312"/>
      <c r="B461" s="2283"/>
      <c r="C461" s="2283"/>
      <c r="D461" s="2283"/>
      <c r="E461" s="2283"/>
      <c r="F461" s="2283"/>
      <c r="G461" s="2284"/>
      <c r="H461" s="657"/>
      <c r="I461" s="657"/>
      <c r="J461" s="657"/>
      <c r="K461" s="657"/>
      <c r="L461" s="657"/>
      <c r="M461" s="657"/>
    </row>
    <row r="462" spans="1:13">
      <c r="A462" s="2201" t="s">
        <v>741</v>
      </c>
      <c r="B462" s="2202"/>
      <c r="C462" s="2202"/>
      <c r="D462" s="2202"/>
      <c r="E462" s="2202"/>
      <c r="F462" s="2202"/>
      <c r="G462" s="2203"/>
      <c r="H462" s="657"/>
      <c r="I462" s="657"/>
      <c r="J462" s="657"/>
      <c r="K462" s="657"/>
      <c r="L462" s="657"/>
      <c r="M462" s="657"/>
    </row>
    <row r="463" spans="1:13" ht="24">
      <c r="A463" s="701" t="s">
        <v>787</v>
      </c>
      <c r="B463" s="723">
        <v>3.85</v>
      </c>
      <c r="C463" s="723">
        <v>2.1</v>
      </c>
      <c r="D463" s="723">
        <f>B463*C463</f>
        <v>8.0850000000000009</v>
      </c>
      <c r="E463" s="723"/>
      <c r="F463" s="723"/>
      <c r="G463" s="748">
        <f>D463-F463</f>
        <v>8.0850000000000009</v>
      </c>
      <c r="H463" s="657"/>
      <c r="I463" s="657"/>
      <c r="J463" s="657"/>
      <c r="K463" s="657"/>
      <c r="L463" s="657"/>
      <c r="M463" s="657"/>
    </row>
    <row r="464" spans="1:13" ht="24">
      <c r="A464" s="701" t="s">
        <v>788</v>
      </c>
      <c r="B464" s="723">
        <v>3.85</v>
      </c>
      <c r="C464" s="723">
        <v>2.1</v>
      </c>
      <c r="D464" s="723">
        <f>B464*C464</f>
        <v>8.0850000000000009</v>
      </c>
      <c r="E464" s="723"/>
      <c r="F464" s="723"/>
      <c r="G464" s="748">
        <f>D464-F464</f>
        <v>8.0850000000000009</v>
      </c>
      <c r="H464" s="657"/>
      <c r="I464" s="657"/>
      <c r="J464" s="657"/>
      <c r="K464" s="657"/>
      <c r="L464" s="657"/>
      <c r="M464" s="657"/>
    </row>
    <row r="465" spans="1:13">
      <c r="A465" s="701" t="s">
        <v>789</v>
      </c>
      <c r="B465" s="723">
        <v>3.85</v>
      </c>
      <c r="C465" s="723">
        <v>2.1</v>
      </c>
      <c r="D465" s="723">
        <f>B465*C465</f>
        <v>8.0850000000000009</v>
      </c>
      <c r="E465" s="747" t="s">
        <v>790</v>
      </c>
      <c r="F465" s="723">
        <f>0.8*2.1</f>
        <v>1.6800000000000002</v>
      </c>
      <c r="G465" s="748">
        <f>D465-F465</f>
        <v>6.4050000000000011</v>
      </c>
      <c r="H465" s="657"/>
      <c r="I465" s="657"/>
      <c r="J465" s="657"/>
      <c r="K465" s="657"/>
      <c r="L465" s="657"/>
      <c r="M465" s="657"/>
    </row>
    <row r="466" spans="1:13">
      <c r="A466" s="701" t="s">
        <v>789</v>
      </c>
      <c r="B466" s="723">
        <v>3.85</v>
      </c>
      <c r="C466" s="723">
        <v>2.1</v>
      </c>
      <c r="D466" s="723">
        <f>B466*C466</f>
        <v>8.0850000000000009</v>
      </c>
      <c r="E466" s="723"/>
      <c r="F466" s="723"/>
      <c r="G466" s="748">
        <f>D466-F466</f>
        <v>8.0850000000000009</v>
      </c>
      <c r="H466" s="657"/>
      <c r="I466" s="657"/>
      <c r="J466" s="657"/>
      <c r="K466" s="657"/>
      <c r="L466" s="657"/>
      <c r="M466" s="657"/>
    </row>
    <row r="467" spans="1:13">
      <c r="A467" s="2312"/>
      <c r="B467" s="2283"/>
      <c r="C467" s="2283"/>
      <c r="D467" s="2283"/>
      <c r="E467" s="2283"/>
      <c r="F467" s="2283"/>
      <c r="G467" s="2284"/>
      <c r="H467" s="657"/>
      <c r="I467" s="657"/>
      <c r="J467" s="657"/>
      <c r="K467" s="657"/>
      <c r="L467" s="657"/>
      <c r="M467" s="657"/>
    </row>
    <row r="468" spans="1:13">
      <c r="A468" s="2273" t="s">
        <v>772</v>
      </c>
      <c r="B468" s="2190"/>
      <c r="C468" s="2190"/>
      <c r="D468" s="2190"/>
      <c r="E468" s="2190"/>
      <c r="F468" s="2190"/>
      <c r="G468" s="2191"/>
      <c r="H468" s="657"/>
      <c r="I468" s="657"/>
      <c r="J468" s="657"/>
      <c r="K468" s="657"/>
      <c r="L468" s="657"/>
      <c r="M468" s="657"/>
    </row>
    <row r="469" spans="1:13">
      <c r="A469" s="2332"/>
      <c r="B469" s="2333"/>
      <c r="C469" s="2195" t="s">
        <v>731</v>
      </c>
      <c r="D469" s="2196"/>
      <c r="E469" s="2196"/>
      <c r="F469" s="2197"/>
      <c r="G469" s="748"/>
      <c r="H469" s="657"/>
      <c r="I469" s="657"/>
      <c r="J469" s="657"/>
      <c r="K469" s="657"/>
      <c r="L469" s="657"/>
      <c r="M469" s="657"/>
    </row>
    <row r="470" spans="1:13">
      <c r="A470" s="2309"/>
      <c r="B470" s="2334"/>
      <c r="C470" s="2198" t="s">
        <v>307</v>
      </c>
      <c r="D470" s="2199"/>
      <c r="E470" s="2199"/>
      <c r="F470" s="2200"/>
      <c r="G470" s="811">
        <f>ROUNDUP(G452+G453+G454+G455+G458+G456+G457+G459+G460,2)</f>
        <v>64.990000000000009</v>
      </c>
      <c r="H470" s="657"/>
      <c r="I470" s="657"/>
      <c r="J470" s="657"/>
      <c r="K470" s="657"/>
      <c r="L470" s="657"/>
      <c r="M470" s="657"/>
    </row>
    <row r="471" spans="1:13">
      <c r="A471" s="2309"/>
      <c r="B471" s="2334"/>
      <c r="C471" s="2195" t="s">
        <v>741</v>
      </c>
      <c r="D471" s="2196"/>
      <c r="E471" s="2196"/>
      <c r="F471" s="2197"/>
      <c r="G471" s="812"/>
      <c r="H471" s="657"/>
      <c r="I471" s="657"/>
      <c r="J471" s="657"/>
      <c r="K471" s="657"/>
      <c r="L471" s="657"/>
      <c r="M471" s="657"/>
    </row>
    <row r="472" spans="1:13">
      <c r="A472" s="2335"/>
      <c r="B472" s="2336"/>
      <c r="C472" s="2198" t="s">
        <v>307</v>
      </c>
      <c r="D472" s="2199"/>
      <c r="E472" s="2199"/>
      <c r="F472" s="2200"/>
      <c r="G472" s="811">
        <f>ROUNDUP(G463+G464+G465+G466,2)</f>
        <v>30.66</v>
      </c>
      <c r="H472" s="657"/>
      <c r="I472" s="657"/>
      <c r="J472" s="657"/>
      <c r="K472" s="657"/>
      <c r="L472" s="657"/>
      <c r="M472" s="657"/>
    </row>
    <row r="473" spans="1:13" ht="15.75" thickBot="1">
      <c r="A473" s="2318" t="s">
        <v>340</v>
      </c>
      <c r="B473" s="2319"/>
      <c r="C473" s="2319"/>
      <c r="D473" s="2319"/>
      <c r="E473" s="2319"/>
      <c r="F473" s="2320"/>
      <c r="G473" s="832">
        <f>ROUNDUP(G470+G472,2)</f>
        <v>95.65</v>
      </c>
      <c r="H473" s="657"/>
      <c r="I473" s="657"/>
      <c r="J473" s="657"/>
      <c r="K473" s="657"/>
      <c r="L473" s="657"/>
      <c r="M473" s="657"/>
    </row>
    <row r="474" spans="1:13" ht="15.75" thickBot="1">
      <c r="A474" s="829"/>
      <c r="B474" s="830"/>
      <c r="C474" s="830"/>
      <c r="D474" s="830"/>
      <c r="E474" s="830"/>
      <c r="F474" s="830"/>
      <c r="G474" s="831"/>
      <c r="H474" s="657"/>
      <c r="I474" s="657"/>
      <c r="J474" s="657"/>
      <c r="K474" s="657"/>
      <c r="L474" s="657"/>
      <c r="M474" s="657"/>
    </row>
    <row r="475" spans="1:13" ht="15.75" thickBot="1">
      <c r="A475" s="671" t="s">
        <v>112</v>
      </c>
      <c r="B475" s="2180" t="s">
        <v>791</v>
      </c>
      <c r="C475" s="2181"/>
      <c r="D475" s="2181"/>
      <c r="E475" s="2181"/>
      <c r="F475" s="2181"/>
      <c r="G475" s="2182"/>
      <c r="H475" s="657"/>
      <c r="I475" s="672" t="s">
        <v>457</v>
      </c>
      <c r="J475" s="657"/>
      <c r="K475" s="657"/>
      <c r="L475" s="657"/>
      <c r="M475" s="657"/>
    </row>
    <row r="476" spans="1:13">
      <c r="A476" s="2213" t="s">
        <v>303</v>
      </c>
      <c r="B476" s="2214"/>
      <c r="C476" s="2214"/>
      <c r="D476" s="2214"/>
      <c r="E476" s="2214"/>
      <c r="F476" s="2214"/>
      <c r="G476" s="2215"/>
      <c r="H476" s="657"/>
      <c r="I476" s="657"/>
      <c r="J476" s="657"/>
      <c r="K476" s="657"/>
      <c r="L476" s="657"/>
      <c r="M476" s="657"/>
    </row>
    <row r="477" spans="1:13">
      <c r="A477" s="2291" t="s">
        <v>385</v>
      </c>
      <c r="B477" s="2292"/>
      <c r="C477" s="2292"/>
      <c r="D477" s="2292"/>
      <c r="E477" s="2292"/>
      <c r="F477" s="2292"/>
      <c r="G477" s="2293"/>
      <c r="H477" s="657"/>
      <c r="I477" s="657"/>
      <c r="J477" s="657"/>
      <c r="K477" s="657"/>
      <c r="L477" s="657"/>
      <c r="M477" s="657"/>
    </row>
    <row r="478" spans="1:13">
      <c r="A478" s="686" t="s">
        <v>322</v>
      </c>
      <c r="B478" s="687" t="s">
        <v>322</v>
      </c>
      <c r="C478" s="687" t="s">
        <v>332</v>
      </c>
      <c r="D478" s="687" t="s">
        <v>333</v>
      </c>
      <c r="E478" s="687" t="s">
        <v>334</v>
      </c>
      <c r="F478" s="687" t="s">
        <v>335</v>
      </c>
      <c r="G478" s="745" t="s">
        <v>336</v>
      </c>
      <c r="H478" s="657"/>
      <c r="I478" s="657"/>
      <c r="J478" s="657"/>
      <c r="K478" s="657"/>
      <c r="L478" s="657"/>
      <c r="M478" s="657"/>
    </row>
    <row r="479" spans="1:13">
      <c r="A479" s="2201" t="s">
        <v>731</v>
      </c>
      <c r="B479" s="2202"/>
      <c r="C479" s="2202"/>
      <c r="D479" s="2202"/>
      <c r="E479" s="2202"/>
      <c r="F479" s="2202"/>
      <c r="G479" s="2203"/>
      <c r="H479" s="657"/>
      <c r="I479" s="657"/>
      <c r="J479" s="657"/>
      <c r="K479" s="657"/>
      <c r="L479" s="657"/>
      <c r="M479" s="657"/>
    </row>
    <row r="480" spans="1:13" ht="24">
      <c r="A480" s="701" t="s">
        <v>775</v>
      </c>
      <c r="B480" s="723">
        <f>1.05+2.85</f>
        <v>3.9000000000000004</v>
      </c>
      <c r="C480" s="723">
        <v>2.1</v>
      </c>
      <c r="D480" s="723">
        <f t="shared" ref="D480:D485" si="16">B480*C480</f>
        <v>8.1900000000000013</v>
      </c>
      <c r="E480" s="747" t="s">
        <v>776</v>
      </c>
      <c r="F480" s="723">
        <f>(0.8*2.1)+(1.1*0.6)</f>
        <v>2.3400000000000003</v>
      </c>
      <c r="G480" s="748">
        <f t="shared" ref="G480:G488" si="17">D480-F480</f>
        <v>5.8500000000000014</v>
      </c>
      <c r="H480" s="657"/>
      <c r="I480" s="657"/>
      <c r="J480" s="657"/>
      <c r="K480" s="657"/>
      <c r="L480" s="657"/>
      <c r="M480" s="657"/>
    </row>
    <row r="481" spans="1:13" ht="24">
      <c r="A481" s="701" t="s">
        <v>777</v>
      </c>
      <c r="B481" s="805">
        <f>1.85+1.08+2</f>
        <v>4.93</v>
      </c>
      <c r="C481" s="723">
        <v>2.1</v>
      </c>
      <c r="D481" s="723">
        <f t="shared" si="16"/>
        <v>10.353</v>
      </c>
      <c r="E481" s="723"/>
      <c r="F481" s="723"/>
      <c r="G481" s="748">
        <f t="shared" si="17"/>
        <v>10.353</v>
      </c>
      <c r="H481" s="657"/>
      <c r="I481" s="657"/>
      <c r="J481" s="657"/>
      <c r="K481" s="657"/>
      <c r="L481" s="657"/>
      <c r="M481" s="657"/>
    </row>
    <row r="482" spans="1:13" ht="24">
      <c r="A482" s="701" t="s">
        <v>778</v>
      </c>
      <c r="B482" s="723">
        <f>1.05+2.85</f>
        <v>3.9000000000000004</v>
      </c>
      <c r="C482" s="723">
        <v>2.1</v>
      </c>
      <c r="D482" s="723">
        <f t="shared" si="16"/>
        <v>8.1900000000000013</v>
      </c>
      <c r="E482" s="747" t="s">
        <v>776</v>
      </c>
      <c r="F482" s="723">
        <f>(0.8*2.1)+(1.1*0.6)</f>
        <v>2.3400000000000003</v>
      </c>
      <c r="G482" s="748">
        <f t="shared" si="17"/>
        <v>5.8500000000000014</v>
      </c>
      <c r="H482" s="657"/>
      <c r="I482" s="657"/>
      <c r="J482" s="657"/>
      <c r="K482" s="657"/>
      <c r="L482" s="657"/>
      <c r="M482" s="657"/>
    </row>
    <row r="483" spans="1:13" ht="24">
      <c r="A483" s="701" t="s">
        <v>779</v>
      </c>
      <c r="B483" s="805">
        <f>1.85+1.08+2</f>
        <v>4.93</v>
      </c>
      <c r="C483" s="723">
        <v>2.1</v>
      </c>
      <c r="D483" s="723">
        <f t="shared" si="16"/>
        <v>10.353</v>
      </c>
      <c r="E483" s="723"/>
      <c r="F483" s="723"/>
      <c r="G483" s="748">
        <f t="shared" si="17"/>
        <v>10.353</v>
      </c>
      <c r="H483" s="657"/>
      <c r="I483" s="657"/>
      <c r="J483" s="657"/>
      <c r="K483" s="657"/>
      <c r="L483" s="657"/>
      <c r="M483" s="657"/>
    </row>
    <row r="484" spans="1:13" ht="24">
      <c r="A484" s="701" t="s">
        <v>780</v>
      </c>
      <c r="B484" s="723">
        <f>1.35*2</f>
        <v>2.7</v>
      </c>
      <c r="C484" s="723">
        <v>2.1</v>
      </c>
      <c r="D484" s="723">
        <f t="shared" si="16"/>
        <v>5.6700000000000008</v>
      </c>
      <c r="E484" s="747" t="s">
        <v>776</v>
      </c>
      <c r="F484" s="723">
        <f>(0.8*2.1)+(1.1*0.6)</f>
        <v>2.3400000000000003</v>
      </c>
      <c r="G484" s="748">
        <f t="shared" si="17"/>
        <v>3.3300000000000005</v>
      </c>
      <c r="H484" s="657"/>
      <c r="I484" s="657"/>
      <c r="J484" s="657"/>
      <c r="K484" s="657"/>
      <c r="L484" s="657"/>
      <c r="M484" s="657"/>
    </row>
    <row r="485" spans="1:13">
      <c r="A485" s="701" t="s">
        <v>781</v>
      </c>
      <c r="B485" s="723">
        <f>2.35+2.35</f>
        <v>4.7</v>
      </c>
      <c r="C485" s="723">
        <v>2.1</v>
      </c>
      <c r="D485" s="723">
        <f t="shared" si="16"/>
        <v>9.870000000000001</v>
      </c>
      <c r="E485" s="723"/>
      <c r="F485" s="723"/>
      <c r="G485" s="748">
        <f t="shared" si="17"/>
        <v>9.870000000000001</v>
      </c>
      <c r="H485" s="657"/>
      <c r="I485" s="657"/>
      <c r="J485" s="657"/>
      <c r="K485" s="657"/>
      <c r="L485" s="657"/>
      <c r="M485" s="657"/>
    </row>
    <row r="486" spans="1:13" ht="24">
      <c r="A486" s="701" t="s">
        <v>782</v>
      </c>
      <c r="B486" s="723">
        <v>4</v>
      </c>
      <c r="C486" s="723">
        <v>2.1</v>
      </c>
      <c r="D486" s="723">
        <f>4*2.1</f>
        <v>8.4</v>
      </c>
      <c r="E486" s="747" t="s">
        <v>783</v>
      </c>
      <c r="F486" s="723">
        <f>(0.6*1.1)+(1.2*1.1)</f>
        <v>1.98</v>
      </c>
      <c r="G486" s="748">
        <f t="shared" si="17"/>
        <v>6.42</v>
      </c>
      <c r="H486" s="657"/>
      <c r="I486" s="657"/>
      <c r="J486" s="657"/>
      <c r="K486" s="657"/>
      <c r="L486" s="657"/>
      <c r="M486" s="657"/>
    </row>
    <row r="487" spans="1:13" ht="36">
      <c r="A487" s="701" t="s">
        <v>784</v>
      </c>
      <c r="B487" s="723">
        <f>1.85+1.65+1.65+1.85</f>
        <v>7</v>
      </c>
      <c r="C487" s="723">
        <v>2.1</v>
      </c>
      <c r="D487" s="723">
        <f>4*2.1</f>
        <v>8.4</v>
      </c>
      <c r="E487" s="747" t="s">
        <v>785</v>
      </c>
      <c r="F487" s="723">
        <f>(0.8*2.1)+(0.4*0.6)</f>
        <v>1.9200000000000002</v>
      </c>
      <c r="G487" s="748">
        <f t="shared" si="17"/>
        <v>6.48</v>
      </c>
      <c r="H487" s="657"/>
      <c r="I487" s="657"/>
      <c r="J487" s="657"/>
      <c r="K487" s="657"/>
      <c r="L487" s="657"/>
      <c r="M487" s="657"/>
    </row>
    <row r="488" spans="1:13" ht="36">
      <c r="A488" s="701" t="s">
        <v>786</v>
      </c>
      <c r="B488" s="723">
        <f>1.85+1.65+1.65+1.85</f>
        <v>7</v>
      </c>
      <c r="C488" s="723">
        <v>2.1</v>
      </c>
      <c r="D488" s="723">
        <f>4*2.1</f>
        <v>8.4</v>
      </c>
      <c r="E488" s="747" t="s">
        <v>785</v>
      </c>
      <c r="F488" s="723">
        <f>(0.8*2.1)+(0.4*0.6)</f>
        <v>1.9200000000000002</v>
      </c>
      <c r="G488" s="748">
        <f t="shared" si="17"/>
        <v>6.48</v>
      </c>
      <c r="H488" s="657"/>
      <c r="I488" s="657"/>
      <c r="J488" s="657"/>
      <c r="K488" s="657"/>
      <c r="L488" s="657"/>
      <c r="M488" s="657"/>
    </row>
    <row r="489" spans="1:13">
      <c r="A489" s="2312"/>
      <c r="B489" s="2283"/>
      <c r="C489" s="2283"/>
      <c r="D489" s="2283"/>
      <c r="E489" s="2283"/>
      <c r="F489" s="2283"/>
      <c r="G489" s="2284"/>
      <c r="H489" s="657"/>
      <c r="I489" s="657"/>
      <c r="J489" s="657"/>
      <c r="K489" s="657"/>
      <c r="L489" s="657"/>
      <c r="M489" s="657"/>
    </row>
    <row r="490" spans="1:13">
      <c r="A490" s="2201" t="s">
        <v>741</v>
      </c>
      <c r="B490" s="2202"/>
      <c r="C490" s="2202"/>
      <c r="D490" s="2202"/>
      <c r="E490" s="2202"/>
      <c r="F490" s="2202"/>
      <c r="G490" s="2203"/>
      <c r="H490" s="657"/>
      <c r="I490" s="657"/>
      <c r="J490" s="657"/>
      <c r="K490" s="657"/>
      <c r="L490" s="657"/>
      <c r="M490" s="657"/>
    </row>
    <row r="491" spans="1:13" ht="24">
      <c r="A491" s="701" t="s">
        <v>787</v>
      </c>
      <c r="B491" s="723">
        <v>3.85</v>
      </c>
      <c r="C491" s="723">
        <v>2.1</v>
      </c>
      <c r="D491" s="723">
        <f>B491*C491</f>
        <v>8.0850000000000009</v>
      </c>
      <c r="E491" s="723"/>
      <c r="F491" s="723"/>
      <c r="G491" s="748">
        <f>D491-F491</f>
        <v>8.0850000000000009</v>
      </c>
      <c r="H491" s="657"/>
      <c r="I491" s="657"/>
      <c r="J491" s="657"/>
      <c r="K491" s="657"/>
      <c r="L491" s="657"/>
      <c r="M491" s="657"/>
    </row>
    <row r="492" spans="1:13" ht="24">
      <c r="A492" s="701" t="s">
        <v>788</v>
      </c>
      <c r="B492" s="723">
        <v>3.85</v>
      </c>
      <c r="C492" s="723">
        <v>2.1</v>
      </c>
      <c r="D492" s="723">
        <f>B492*C492</f>
        <v>8.0850000000000009</v>
      </c>
      <c r="E492" s="723"/>
      <c r="F492" s="723"/>
      <c r="G492" s="748">
        <f>D492-F492</f>
        <v>8.0850000000000009</v>
      </c>
      <c r="H492" s="657"/>
      <c r="I492" s="657"/>
      <c r="J492" s="657"/>
      <c r="K492" s="657"/>
      <c r="L492" s="657"/>
      <c r="M492" s="657"/>
    </row>
    <row r="493" spans="1:13">
      <c r="A493" s="701" t="s">
        <v>789</v>
      </c>
      <c r="B493" s="723">
        <v>3.85</v>
      </c>
      <c r="C493" s="723">
        <v>2.1</v>
      </c>
      <c r="D493" s="723">
        <f>B493*C493</f>
        <v>8.0850000000000009</v>
      </c>
      <c r="E493" s="747" t="s">
        <v>790</v>
      </c>
      <c r="F493" s="723">
        <f>0.8*2.1</f>
        <v>1.6800000000000002</v>
      </c>
      <c r="G493" s="748">
        <f>D493-F493</f>
        <v>6.4050000000000011</v>
      </c>
      <c r="H493" s="657"/>
      <c r="I493" s="657"/>
      <c r="J493" s="657"/>
      <c r="K493" s="657"/>
      <c r="L493" s="657"/>
      <c r="M493" s="657"/>
    </row>
    <row r="494" spans="1:13">
      <c r="A494" s="701" t="s">
        <v>789</v>
      </c>
      <c r="B494" s="723">
        <v>3.85</v>
      </c>
      <c r="C494" s="723">
        <v>2.1</v>
      </c>
      <c r="D494" s="723">
        <f>B494*C494</f>
        <v>8.0850000000000009</v>
      </c>
      <c r="E494" s="723"/>
      <c r="F494" s="723"/>
      <c r="G494" s="748">
        <f>D494-F494</f>
        <v>8.0850000000000009</v>
      </c>
      <c r="H494" s="657"/>
      <c r="I494" s="657"/>
      <c r="J494" s="657"/>
      <c r="K494" s="657"/>
      <c r="L494" s="657"/>
      <c r="M494" s="657"/>
    </row>
    <row r="495" spans="1:13">
      <c r="A495" s="2312"/>
      <c r="B495" s="2283"/>
      <c r="C495" s="2283"/>
      <c r="D495" s="2283"/>
      <c r="E495" s="2283"/>
      <c r="F495" s="2283"/>
      <c r="G495" s="2284"/>
      <c r="H495" s="657"/>
      <c r="I495" s="657"/>
      <c r="J495" s="657"/>
      <c r="K495" s="657"/>
      <c r="L495" s="657"/>
      <c r="M495" s="657"/>
    </row>
    <row r="496" spans="1:13">
      <c r="A496" s="2273" t="s">
        <v>2059</v>
      </c>
      <c r="B496" s="2190"/>
      <c r="C496" s="2190"/>
      <c r="D496" s="2190"/>
      <c r="E496" s="2190"/>
      <c r="F496" s="2190"/>
      <c r="G496" s="2191"/>
      <c r="H496" s="657"/>
      <c r="I496" s="657"/>
      <c r="J496" s="657"/>
      <c r="K496" s="657"/>
      <c r="L496" s="657"/>
      <c r="M496" s="657"/>
    </row>
    <row r="497" spans="1:13">
      <c r="A497" s="2332"/>
      <c r="B497" s="2333"/>
      <c r="C497" s="2195" t="s">
        <v>731</v>
      </c>
      <c r="D497" s="2196"/>
      <c r="E497" s="2196"/>
      <c r="F497" s="2197"/>
      <c r="G497" s="748"/>
      <c r="H497" s="657"/>
      <c r="I497" s="657"/>
      <c r="J497" s="657"/>
      <c r="K497" s="657"/>
      <c r="L497" s="657"/>
      <c r="M497" s="657"/>
    </row>
    <row r="498" spans="1:13">
      <c r="A498" s="2309"/>
      <c r="B498" s="2334"/>
      <c r="C498" s="2198" t="s">
        <v>307</v>
      </c>
      <c r="D498" s="2199"/>
      <c r="E498" s="2199"/>
      <c r="F498" s="2200"/>
      <c r="G498" s="811">
        <f>ROUNDUP(G480+G481+G482+G483+G486+G484+G485+G487+G488,2)</f>
        <v>64.990000000000009</v>
      </c>
      <c r="H498" s="657"/>
      <c r="I498" s="657"/>
      <c r="J498" s="657"/>
      <c r="K498" s="657"/>
      <c r="L498" s="657"/>
      <c r="M498" s="657"/>
    </row>
    <row r="499" spans="1:13">
      <c r="A499" s="2309"/>
      <c r="B499" s="2334"/>
      <c r="C499" s="2195" t="s">
        <v>741</v>
      </c>
      <c r="D499" s="2196"/>
      <c r="E499" s="2196"/>
      <c r="F499" s="2197"/>
      <c r="G499" s="812"/>
      <c r="H499" s="657"/>
      <c r="I499" s="657"/>
      <c r="J499" s="657"/>
      <c r="K499" s="657"/>
      <c r="L499" s="657"/>
      <c r="M499" s="657"/>
    </row>
    <row r="500" spans="1:13">
      <c r="A500" s="2335"/>
      <c r="B500" s="2336"/>
      <c r="C500" s="2198" t="s">
        <v>307</v>
      </c>
      <c r="D500" s="2199"/>
      <c r="E500" s="2199"/>
      <c r="F500" s="2200"/>
      <c r="G500" s="811">
        <f>ROUNDUP(G491+G492+G493+G494,2)</f>
        <v>30.66</v>
      </c>
      <c r="H500" s="657"/>
      <c r="I500" s="657"/>
      <c r="J500" s="657"/>
      <c r="K500" s="657"/>
      <c r="L500" s="657"/>
      <c r="M500" s="657"/>
    </row>
    <row r="501" spans="1:13" ht="15.75" thickBot="1">
      <c r="A501" s="2318" t="s">
        <v>340</v>
      </c>
      <c r="B501" s="2319"/>
      <c r="C501" s="2319"/>
      <c r="D501" s="2319"/>
      <c r="E501" s="2319"/>
      <c r="F501" s="2320"/>
      <c r="G501" s="832">
        <f>ROUNDUP(G498+G500,2)</f>
        <v>95.65</v>
      </c>
      <c r="H501" s="657"/>
      <c r="I501" s="657"/>
      <c r="J501" s="657"/>
      <c r="K501" s="657"/>
      <c r="L501" s="657"/>
      <c r="M501" s="657"/>
    </row>
    <row r="502" spans="1:13" ht="15.75" thickBot="1">
      <c r="A502" s="829"/>
      <c r="B502" s="830"/>
      <c r="C502" s="830"/>
      <c r="D502" s="830"/>
      <c r="E502" s="830"/>
      <c r="F502" s="830"/>
      <c r="G502" s="831"/>
      <c r="H502" s="657"/>
      <c r="I502" s="657"/>
      <c r="J502" s="657"/>
      <c r="K502" s="657"/>
      <c r="L502" s="657"/>
      <c r="M502" s="657"/>
    </row>
    <row r="503" spans="1:13" ht="15.75" thickBot="1">
      <c r="A503" s="671" t="s">
        <v>113</v>
      </c>
      <c r="B503" s="2180" t="s">
        <v>792</v>
      </c>
      <c r="C503" s="2181"/>
      <c r="D503" s="2181"/>
      <c r="E503" s="2181"/>
      <c r="F503" s="2181"/>
      <c r="G503" s="2182"/>
      <c r="H503" s="657"/>
      <c r="I503" s="657"/>
      <c r="J503" s="657"/>
      <c r="K503" s="657"/>
      <c r="L503" s="657"/>
      <c r="M503" s="657"/>
    </row>
    <row r="504" spans="1:13">
      <c r="A504" s="2213" t="s">
        <v>303</v>
      </c>
      <c r="B504" s="2214"/>
      <c r="C504" s="2214"/>
      <c r="D504" s="2214"/>
      <c r="E504" s="2214"/>
      <c r="F504" s="2214"/>
      <c r="G504" s="2215"/>
      <c r="H504" s="657"/>
      <c r="I504" s="657"/>
      <c r="J504" s="657"/>
      <c r="K504" s="657"/>
      <c r="L504" s="657"/>
      <c r="M504" s="657"/>
    </row>
    <row r="505" spans="1:13">
      <c r="A505" s="2291" t="s">
        <v>385</v>
      </c>
      <c r="B505" s="2292"/>
      <c r="C505" s="2292"/>
      <c r="D505" s="2292"/>
      <c r="E505" s="2292"/>
      <c r="F505" s="2292"/>
      <c r="G505" s="2293"/>
      <c r="H505" s="657"/>
      <c r="I505" s="657"/>
      <c r="J505" s="657"/>
      <c r="K505" s="657"/>
      <c r="L505" s="657"/>
      <c r="M505" s="657"/>
    </row>
    <row r="506" spans="1:13">
      <c r="A506" s="686" t="s">
        <v>322</v>
      </c>
      <c r="B506" s="687" t="s">
        <v>322</v>
      </c>
      <c r="C506" s="687" t="s">
        <v>332</v>
      </c>
      <c r="D506" s="687" t="s">
        <v>333</v>
      </c>
      <c r="E506" s="687" t="s">
        <v>334</v>
      </c>
      <c r="F506" s="687" t="s">
        <v>335</v>
      </c>
      <c r="G506" s="745" t="s">
        <v>336</v>
      </c>
      <c r="H506" s="657"/>
      <c r="I506" s="657"/>
      <c r="J506" s="657"/>
      <c r="K506" s="657"/>
      <c r="L506" s="657"/>
      <c r="M506" s="657"/>
    </row>
    <row r="507" spans="1:13">
      <c r="A507" s="2201" t="s">
        <v>731</v>
      </c>
      <c r="B507" s="2202"/>
      <c r="C507" s="2202"/>
      <c r="D507" s="2202"/>
      <c r="E507" s="2202"/>
      <c r="F507" s="2202"/>
      <c r="G507" s="2203"/>
      <c r="H507" s="657"/>
      <c r="I507" s="657"/>
      <c r="J507" s="657"/>
      <c r="K507" s="657"/>
      <c r="L507" s="657"/>
      <c r="M507" s="657"/>
    </row>
    <row r="508" spans="1:13">
      <c r="A508" s="746">
        <v>1.5</v>
      </c>
      <c r="B508" s="723">
        <v>1.5</v>
      </c>
      <c r="C508" s="723">
        <v>2.82</v>
      </c>
      <c r="D508" s="723">
        <f>B508*C508</f>
        <v>4.2299999999999995</v>
      </c>
      <c r="E508" s="723"/>
      <c r="F508" s="723"/>
      <c r="G508" s="748">
        <f>D508</f>
        <v>4.2299999999999995</v>
      </c>
      <c r="H508" s="657"/>
      <c r="I508" s="657"/>
      <c r="J508" s="657"/>
      <c r="K508" s="657"/>
      <c r="L508" s="657"/>
      <c r="M508" s="657"/>
    </row>
    <row r="509" spans="1:13">
      <c r="A509" s="746">
        <v>1.5</v>
      </c>
      <c r="B509" s="723">
        <v>1.5</v>
      </c>
      <c r="C509" s="723">
        <v>2.2799999999999998</v>
      </c>
      <c r="D509" s="723">
        <f>B509*C509</f>
        <v>3.42</v>
      </c>
      <c r="E509" s="723"/>
      <c r="F509" s="723"/>
      <c r="G509" s="748">
        <f>D509</f>
        <v>3.42</v>
      </c>
      <c r="H509" s="657"/>
      <c r="I509" s="657"/>
      <c r="J509" s="657"/>
      <c r="K509" s="657"/>
      <c r="L509" s="657"/>
      <c r="M509" s="657"/>
    </row>
    <row r="510" spans="1:13" ht="24">
      <c r="A510" s="701" t="s">
        <v>793</v>
      </c>
      <c r="B510" s="723">
        <f>4.75+9.5+4.75</f>
        <v>19</v>
      </c>
      <c r="C510" s="723">
        <v>0.15</v>
      </c>
      <c r="D510" s="723">
        <f t="shared" ref="D510:D515" si="18">C510*B510</f>
        <v>2.85</v>
      </c>
      <c r="E510" s="723"/>
      <c r="F510" s="723"/>
      <c r="G510" s="748">
        <f t="shared" ref="G510:G515" si="19">D510-F510</f>
        <v>2.85</v>
      </c>
      <c r="H510" s="657"/>
      <c r="I510" s="657"/>
      <c r="J510" s="657"/>
      <c r="K510" s="657"/>
      <c r="L510" s="657"/>
      <c r="M510" s="657"/>
    </row>
    <row r="511" spans="1:13" ht="36">
      <c r="A511" s="701" t="s">
        <v>794</v>
      </c>
      <c r="B511" s="723">
        <f>4.15+4+1.6+3.08+4.5+1.65+5.15+4</f>
        <v>28.129999999999995</v>
      </c>
      <c r="C511" s="723">
        <v>0.15</v>
      </c>
      <c r="D511" s="723">
        <f t="shared" si="18"/>
        <v>4.2194999999999991</v>
      </c>
      <c r="E511" s="723"/>
      <c r="F511" s="723"/>
      <c r="G511" s="748">
        <f t="shared" si="19"/>
        <v>4.2194999999999991</v>
      </c>
      <c r="H511" s="657"/>
      <c r="I511" s="657"/>
      <c r="J511" s="657"/>
      <c r="K511" s="657"/>
      <c r="L511" s="657"/>
      <c r="M511" s="657"/>
    </row>
    <row r="512" spans="1:13" ht="24">
      <c r="A512" s="701" t="s">
        <v>795</v>
      </c>
      <c r="B512" s="723">
        <f>3.85+3.85+9.8+9.8</f>
        <v>27.3</v>
      </c>
      <c r="C512" s="723">
        <v>0.15</v>
      </c>
      <c r="D512" s="723">
        <f t="shared" si="18"/>
        <v>4.0949999999999998</v>
      </c>
      <c r="E512" s="723"/>
      <c r="F512" s="723"/>
      <c r="G512" s="748">
        <f t="shared" si="19"/>
        <v>4.0949999999999998</v>
      </c>
      <c r="H512" s="657"/>
      <c r="I512" s="657"/>
      <c r="J512" s="657"/>
      <c r="K512" s="657"/>
      <c r="L512" s="657"/>
      <c r="M512" s="657"/>
    </row>
    <row r="513" spans="1:13" ht="36">
      <c r="A513" s="701" t="s">
        <v>796</v>
      </c>
      <c r="B513" s="723">
        <f>7.8+7.5+17.1+3.35</f>
        <v>35.750000000000007</v>
      </c>
      <c r="C513" s="723">
        <v>0.15</v>
      </c>
      <c r="D513" s="723">
        <f t="shared" si="18"/>
        <v>5.3625000000000007</v>
      </c>
      <c r="E513" s="723"/>
      <c r="F513" s="723"/>
      <c r="G513" s="748">
        <f t="shared" si="19"/>
        <v>5.3625000000000007</v>
      </c>
      <c r="H513" s="657"/>
      <c r="I513" s="657"/>
      <c r="J513" s="657"/>
      <c r="K513" s="657"/>
      <c r="L513" s="657"/>
      <c r="M513" s="657"/>
    </row>
    <row r="514" spans="1:13" ht="24">
      <c r="A514" s="701" t="s">
        <v>797</v>
      </c>
      <c r="B514" s="723">
        <f>3.35+1.8</f>
        <v>5.15</v>
      </c>
      <c r="C514" s="723">
        <v>1.28</v>
      </c>
      <c r="D514" s="723">
        <f t="shared" si="18"/>
        <v>6.5920000000000005</v>
      </c>
      <c r="E514" s="723"/>
      <c r="F514" s="723"/>
      <c r="G514" s="748">
        <f t="shared" si="19"/>
        <v>6.5920000000000005</v>
      </c>
      <c r="H514" s="657"/>
      <c r="I514" s="657"/>
      <c r="J514" s="657"/>
      <c r="K514" s="657"/>
      <c r="L514" s="657"/>
      <c r="M514" s="657"/>
    </row>
    <row r="515" spans="1:13" ht="24">
      <c r="A515" s="701" t="s">
        <v>798</v>
      </c>
      <c r="B515" s="723">
        <f>7.8+7.5</f>
        <v>15.3</v>
      </c>
      <c r="C515" s="723">
        <v>1.28</v>
      </c>
      <c r="D515" s="723">
        <f t="shared" si="18"/>
        <v>19.584</v>
      </c>
      <c r="E515" s="723"/>
      <c r="F515" s="723"/>
      <c r="G515" s="748">
        <f t="shared" si="19"/>
        <v>19.584</v>
      </c>
      <c r="H515" s="657"/>
      <c r="I515" s="657"/>
      <c r="J515" s="657"/>
      <c r="K515" s="657"/>
      <c r="L515" s="657"/>
      <c r="M515" s="657"/>
    </row>
    <row r="516" spans="1:13">
      <c r="A516" s="2312"/>
      <c r="B516" s="2283"/>
      <c r="C516" s="2283"/>
      <c r="D516" s="2283"/>
      <c r="E516" s="2283"/>
      <c r="F516" s="2283"/>
      <c r="G516" s="2284"/>
      <c r="H516" s="657"/>
      <c r="I516" s="657"/>
      <c r="J516" s="657"/>
      <c r="K516" s="657"/>
      <c r="L516" s="657"/>
      <c r="M516" s="657"/>
    </row>
    <row r="517" spans="1:13">
      <c r="A517" s="2201" t="s">
        <v>741</v>
      </c>
      <c r="B517" s="2202"/>
      <c r="C517" s="2202"/>
      <c r="D517" s="2202"/>
      <c r="E517" s="2202"/>
      <c r="F517" s="2202"/>
      <c r="G517" s="2203"/>
      <c r="H517" s="657"/>
      <c r="I517" s="657"/>
      <c r="J517" s="657"/>
      <c r="K517" s="657"/>
      <c r="L517" s="657"/>
      <c r="M517" s="657"/>
    </row>
    <row r="518" spans="1:13">
      <c r="A518" s="746">
        <v>4.1500000000000004</v>
      </c>
      <c r="B518" s="723">
        <v>4.1500000000000004</v>
      </c>
      <c r="C518" s="723">
        <v>2.2799999999999998</v>
      </c>
      <c r="D518" s="723">
        <f>C518*B518</f>
        <v>9.4619999999999997</v>
      </c>
      <c r="E518" s="723"/>
      <c r="F518" s="723"/>
      <c r="G518" s="748">
        <f>D518*C518</f>
        <v>21.573359999999997</v>
      </c>
      <c r="H518" s="657"/>
      <c r="I518" s="657"/>
      <c r="J518" s="657"/>
      <c r="K518" s="657"/>
      <c r="L518" s="657"/>
      <c r="M518" s="657"/>
    </row>
    <row r="519" spans="1:13">
      <c r="A519" s="746">
        <v>1.5</v>
      </c>
      <c r="B519" s="723">
        <v>1.5</v>
      </c>
      <c r="C519" s="723">
        <v>4.32</v>
      </c>
      <c r="D519" s="723">
        <f>B519*C519</f>
        <v>6.48</v>
      </c>
      <c r="E519" s="723"/>
      <c r="F519" s="723"/>
      <c r="G519" s="748">
        <f>D519</f>
        <v>6.48</v>
      </c>
      <c r="H519" s="657"/>
      <c r="I519" s="657"/>
      <c r="J519" s="657"/>
      <c r="K519" s="657"/>
      <c r="L519" s="657"/>
      <c r="M519" s="657"/>
    </row>
    <row r="520" spans="1:13">
      <c r="A520" s="746">
        <v>3.35</v>
      </c>
      <c r="B520" s="723">
        <v>3.35</v>
      </c>
      <c r="C520" s="723">
        <v>4.32</v>
      </c>
      <c r="D520" s="723">
        <f t="shared" ref="D520:D526" si="20">C520*B520</f>
        <v>14.472000000000001</v>
      </c>
      <c r="E520" s="723"/>
      <c r="F520" s="723"/>
      <c r="G520" s="748">
        <f>D520</f>
        <v>14.472000000000001</v>
      </c>
      <c r="H520" s="657"/>
      <c r="I520" s="657"/>
      <c r="J520" s="657"/>
      <c r="K520" s="657"/>
      <c r="L520" s="657"/>
      <c r="M520" s="657"/>
    </row>
    <row r="521" spans="1:13">
      <c r="A521" s="746">
        <v>2.35</v>
      </c>
      <c r="B521" s="723">
        <v>2.35</v>
      </c>
      <c r="C521" s="723">
        <v>4.32</v>
      </c>
      <c r="D521" s="723">
        <f t="shared" si="20"/>
        <v>10.152000000000001</v>
      </c>
      <c r="E521" s="747" t="s">
        <v>749</v>
      </c>
      <c r="F521" s="723">
        <f>2.2*1.1</f>
        <v>2.4200000000000004</v>
      </c>
      <c r="G521" s="748">
        <f>D521-F521</f>
        <v>7.7320000000000011</v>
      </c>
      <c r="H521" s="657"/>
      <c r="I521" s="657"/>
      <c r="J521" s="657"/>
      <c r="K521" s="657"/>
      <c r="L521" s="657"/>
      <c r="M521" s="657"/>
    </row>
    <row r="522" spans="1:13">
      <c r="A522" s="746">
        <v>4.1500000000000004</v>
      </c>
      <c r="B522" s="723">
        <v>4.1500000000000004</v>
      </c>
      <c r="C522" s="723">
        <v>1.27</v>
      </c>
      <c r="D522" s="723">
        <f t="shared" si="20"/>
        <v>5.2705000000000002</v>
      </c>
      <c r="E522" s="723"/>
      <c r="F522" s="723"/>
      <c r="G522" s="748">
        <f>D522</f>
        <v>5.2705000000000002</v>
      </c>
      <c r="H522" s="657"/>
      <c r="I522" s="657"/>
      <c r="J522" s="657"/>
      <c r="K522" s="657"/>
      <c r="L522" s="657"/>
      <c r="M522" s="657"/>
    </row>
    <row r="523" spans="1:13">
      <c r="A523" s="701" t="s">
        <v>799</v>
      </c>
      <c r="B523" s="723">
        <v>4.1500000000000004</v>
      </c>
      <c r="C523" s="723">
        <v>1.27</v>
      </c>
      <c r="D523" s="723">
        <f t="shared" si="20"/>
        <v>5.2705000000000002</v>
      </c>
      <c r="E523" s="723"/>
      <c r="F523" s="723"/>
      <c r="G523" s="748">
        <f>D523</f>
        <v>5.2705000000000002</v>
      </c>
      <c r="H523" s="657"/>
      <c r="I523" s="657"/>
      <c r="J523" s="657"/>
      <c r="K523" s="657"/>
      <c r="L523" s="657"/>
      <c r="M523" s="657"/>
    </row>
    <row r="524" spans="1:13" ht="24">
      <c r="A524" s="701" t="s">
        <v>800</v>
      </c>
      <c r="B524" s="723">
        <f>4.45+4.6+4.6</f>
        <v>13.65</v>
      </c>
      <c r="C524" s="723">
        <v>1.78</v>
      </c>
      <c r="D524" s="723">
        <f t="shared" si="20"/>
        <v>24.297000000000001</v>
      </c>
      <c r="E524" s="723"/>
      <c r="F524" s="723"/>
      <c r="G524" s="748">
        <f>D524</f>
        <v>24.297000000000001</v>
      </c>
      <c r="H524" s="657"/>
      <c r="I524" s="657"/>
      <c r="J524" s="657"/>
      <c r="K524" s="657"/>
      <c r="L524" s="657"/>
      <c r="M524" s="657"/>
    </row>
    <row r="525" spans="1:13">
      <c r="A525" s="701" t="s">
        <v>801</v>
      </c>
      <c r="B525" s="723">
        <v>2.5</v>
      </c>
      <c r="C525" s="723">
        <v>2.2799999999999998</v>
      </c>
      <c r="D525" s="723">
        <f t="shared" si="20"/>
        <v>5.6999999999999993</v>
      </c>
      <c r="E525" s="723"/>
      <c r="F525" s="723"/>
      <c r="G525" s="748">
        <f>D525</f>
        <v>5.6999999999999993</v>
      </c>
      <c r="H525" s="657"/>
      <c r="I525" s="657"/>
      <c r="J525" s="657"/>
      <c r="K525" s="657"/>
      <c r="L525" s="657"/>
      <c r="M525" s="657"/>
    </row>
    <row r="526" spans="1:13" ht="24">
      <c r="A526" s="701" t="s">
        <v>802</v>
      </c>
      <c r="B526" s="723">
        <f>3.85+3.85</f>
        <v>7.7</v>
      </c>
      <c r="C526" s="723">
        <v>2.2799999999999998</v>
      </c>
      <c r="D526" s="723">
        <f t="shared" si="20"/>
        <v>17.555999999999997</v>
      </c>
      <c r="E526" s="723"/>
      <c r="F526" s="723"/>
      <c r="G526" s="748">
        <f>D526</f>
        <v>17.555999999999997</v>
      </c>
      <c r="H526" s="657"/>
      <c r="I526" s="657"/>
      <c r="J526" s="657"/>
      <c r="K526" s="657"/>
      <c r="L526" s="657"/>
      <c r="M526" s="657"/>
    </row>
    <row r="527" spans="1:13" ht="24">
      <c r="A527" s="806" t="s">
        <v>803</v>
      </c>
      <c r="B527" s="807">
        <v>4.5999999999999996</v>
      </c>
      <c r="C527" s="784">
        <v>1.93</v>
      </c>
      <c r="D527" s="784">
        <f>B527*C527</f>
        <v>8.8779999999999983</v>
      </c>
      <c r="E527" s="784"/>
      <c r="F527" s="784"/>
      <c r="G527" s="809">
        <f>D527-F527</f>
        <v>8.8779999999999983</v>
      </c>
      <c r="H527" s="657"/>
      <c r="I527" s="657"/>
      <c r="J527" s="657"/>
      <c r="K527" s="657"/>
      <c r="L527" s="657"/>
      <c r="M527" s="657"/>
    </row>
    <row r="528" spans="1:13">
      <c r="A528" s="2312"/>
      <c r="B528" s="2283"/>
      <c r="C528" s="2283"/>
      <c r="D528" s="2283"/>
      <c r="E528" s="2283"/>
      <c r="F528" s="2283"/>
      <c r="G528" s="2284"/>
      <c r="H528" s="657"/>
      <c r="I528" s="657"/>
      <c r="J528" s="657"/>
      <c r="K528" s="657"/>
      <c r="L528" s="657"/>
      <c r="M528" s="657"/>
    </row>
    <row r="529" spans="1:13">
      <c r="A529" s="2201" t="s">
        <v>759</v>
      </c>
      <c r="B529" s="2202"/>
      <c r="C529" s="2202"/>
      <c r="D529" s="2202"/>
      <c r="E529" s="2202"/>
      <c r="F529" s="2202"/>
      <c r="G529" s="2203"/>
      <c r="H529" s="657"/>
      <c r="I529" s="657"/>
      <c r="J529" s="657"/>
      <c r="K529" s="657"/>
      <c r="L529" s="657"/>
      <c r="M529" s="657"/>
    </row>
    <row r="530" spans="1:13" ht="36">
      <c r="A530" s="701" t="s">
        <v>804</v>
      </c>
      <c r="B530" s="723">
        <f>3.65+4.8</f>
        <v>8.4499999999999993</v>
      </c>
      <c r="C530" s="723">
        <v>4.32</v>
      </c>
      <c r="D530" s="723">
        <f>B530*C530</f>
        <v>36.503999999999998</v>
      </c>
      <c r="E530" s="747" t="s">
        <v>805</v>
      </c>
      <c r="F530" s="723">
        <f>(2.2*1.1)+(2.3+1.1)</f>
        <v>5.82</v>
      </c>
      <c r="G530" s="748">
        <f>D530-F530</f>
        <v>30.683999999999997</v>
      </c>
      <c r="H530" s="657"/>
      <c r="I530" s="657"/>
      <c r="J530" s="657"/>
      <c r="K530" s="657"/>
      <c r="L530" s="657"/>
      <c r="M530" s="657"/>
    </row>
    <row r="531" spans="1:13" ht="24">
      <c r="A531" s="701" t="s">
        <v>806</v>
      </c>
      <c r="B531" s="752">
        <f>9.8+4.15</f>
        <v>13.950000000000001</v>
      </c>
      <c r="C531" s="723">
        <v>2.82</v>
      </c>
      <c r="D531" s="723">
        <f>B531*C531</f>
        <v>39.338999999999999</v>
      </c>
      <c r="E531" s="747" t="s">
        <v>807</v>
      </c>
      <c r="F531" s="723">
        <f>1.1*0.6*6</f>
        <v>3.96</v>
      </c>
      <c r="G531" s="748">
        <f>D531-F531</f>
        <v>35.378999999999998</v>
      </c>
      <c r="H531" s="657"/>
      <c r="I531" s="657"/>
      <c r="J531" s="657"/>
      <c r="K531" s="657"/>
      <c r="L531" s="657"/>
      <c r="M531" s="657"/>
    </row>
    <row r="532" spans="1:13">
      <c r="A532" s="746">
        <v>9.8000000000000007</v>
      </c>
      <c r="B532" s="805">
        <v>9.8000000000000007</v>
      </c>
      <c r="C532" s="723">
        <v>2.2799999999999998</v>
      </c>
      <c r="D532" s="723">
        <f>C532*B532</f>
        <v>22.344000000000001</v>
      </c>
      <c r="E532" s="723"/>
      <c r="F532" s="723"/>
      <c r="G532" s="748">
        <f>D532</f>
        <v>22.344000000000001</v>
      </c>
      <c r="H532" s="657"/>
      <c r="I532" s="657"/>
      <c r="J532" s="657"/>
      <c r="K532" s="657"/>
      <c r="L532" s="657"/>
      <c r="M532" s="657"/>
    </row>
    <row r="533" spans="1:13" ht="60">
      <c r="A533" s="701" t="s">
        <v>808</v>
      </c>
      <c r="B533" s="805">
        <f>7.8+7.8+17.25</f>
        <v>32.85</v>
      </c>
      <c r="C533" s="723">
        <v>4.32</v>
      </c>
      <c r="D533" s="723">
        <f>B533*C533</f>
        <v>141.91200000000001</v>
      </c>
      <c r="E533" s="747" t="s">
        <v>809</v>
      </c>
      <c r="F533" s="723">
        <f>((2.3*1.1)*3)+((1.1*0.6)*2)+(1.6*2.1)</f>
        <v>12.27</v>
      </c>
      <c r="G533" s="748">
        <f>D533-F533</f>
        <v>129.642</v>
      </c>
      <c r="H533" s="657"/>
      <c r="I533" s="657"/>
      <c r="J533" s="657"/>
      <c r="K533" s="657"/>
      <c r="L533" s="657"/>
      <c r="M533" s="657"/>
    </row>
    <row r="534" spans="1:13">
      <c r="A534" s="746">
        <v>5.15</v>
      </c>
      <c r="B534" s="805">
        <v>5.15</v>
      </c>
      <c r="C534" s="723">
        <v>4.2699999999999996</v>
      </c>
      <c r="D534" s="723">
        <f>B534*C534</f>
        <v>21.990500000000001</v>
      </c>
      <c r="E534" s="723"/>
      <c r="F534" s="723"/>
      <c r="G534" s="748">
        <f>D534</f>
        <v>21.990500000000001</v>
      </c>
      <c r="H534" s="657"/>
      <c r="I534" s="657"/>
      <c r="J534" s="657"/>
      <c r="K534" s="657"/>
      <c r="L534" s="657"/>
      <c r="M534" s="657"/>
    </row>
    <row r="535" spans="1:13" ht="24">
      <c r="A535" s="746">
        <v>4.1500000000000004</v>
      </c>
      <c r="B535" s="805">
        <v>4.1500000000000004</v>
      </c>
      <c r="C535" s="723">
        <v>2.84</v>
      </c>
      <c r="D535" s="723">
        <f>B535*C535</f>
        <v>11.786</v>
      </c>
      <c r="E535" s="747" t="s">
        <v>810</v>
      </c>
      <c r="F535" s="723">
        <f>(1.3*2.1)+(2.3*1.1)</f>
        <v>5.26</v>
      </c>
      <c r="G535" s="748">
        <f>D535-F535</f>
        <v>6.5259999999999998</v>
      </c>
      <c r="H535" s="657"/>
      <c r="I535" s="657"/>
      <c r="J535" s="657"/>
      <c r="K535" s="657"/>
      <c r="L535" s="657"/>
      <c r="M535" s="657"/>
    </row>
    <row r="536" spans="1:13">
      <c r="A536" s="701" t="s">
        <v>811</v>
      </c>
      <c r="B536" s="723">
        <v>7.5</v>
      </c>
      <c r="C536" s="723">
        <v>1.78</v>
      </c>
      <c r="D536" s="723">
        <f>C536*B536</f>
        <v>13.35</v>
      </c>
      <c r="E536" s="723"/>
      <c r="F536" s="723"/>
      <c r="G536" s="748">
        <f>D536-F536</f>
        <v>13.35</v>
      </c>
      <c r="H536" s="657"/>
      <c r="I536" s="657"/>
      <c r="J536" s="657"/>
      <c r="K536" s="657"/>
      <c r="L536" s="657"/>
      <c r="M536" s="657"/>
    </row>
    <row r="537" spans="1:13">
      <c r="A537" s="701" t="s">
        <v>812</v>
      </c>
      <c r="B537" s="723">
        <v>16.95</v>
      </c>
      <c r="C537" s="723">
        <v>1.28</v>
      </c>
      <c r="D537" s="723">
        <f>C537*B537</f>
        <v>21.695999999999998</v>
      </c>
      <c r="E537" s="723"/>
      <c r="F537" s="723"/>
      <c r="G537" s="748">
        <f>D537-F537</f>
        <v>21.695999999999998</v>
      </c>
      <c r="H537" s="657"/>
      <c r="I537" s="657"/>
      <c r="J537" s="657"/>
      <c r="K537" s="657"/>
      <c r="L537" s="657"/>
      <c r="M537" s="657"/>
    </row>
    <row r="538" spans="1:13" ht="24">
      <c r="A538" s="701" t="s">
        <v>813</v>
      </c>
      <c r="B538" s="723">
        <f>9.5+9.5+9.5</f>
        <v>28.5</v>
      </c>
      <c r="C538" s="723">
        <v>2.2799999999999998</v>
      </c>
      <c r="D538" s="723">
        <f>C538*B538</f>
        <v>64.97999999999999</v>
      </c>
      <c r="E538" s="723"/>
      <c r="F538" s="723"/>
      <c r="G538" s="748">
        <f>D538-F538</f>
        <v>64.97999999999999</v>
      </c>
      <c r="H538" s="657"/>
      <c r="I538" s="657"/>
      <c r="J538" s="657"/>
      <c r="K538" s="657"/>
      <c r="L538" s="657"/>
      <c r="M538" s="657"/>
    </row>
    <row r="539" spans="1:13">
      <c r="A539" s="2312"/>
      <c r="B539" s="2283"/>
      <c r="C539" s="2283"/>
      <c r="D539" s="2283"/>
      <c r="E539" s="2283"/>
      <c r="F539" s="2283"/>
      <c r="G539" s="2284"/>
      <c r="H539" s="657"/>
      <c r="I539" s="657"/>
      <c r="J539" s="657"/>
      <c r="K539" s="657"/>
      <c r="L539" s="657"/>
      <c r="M539" s="657"/>
    </row>
    <row r="540" spans="1:13">
      <c r="A540" s="2273" t="s">
        <v>2058</v>
      </c>
      <c r="B540" s="2190"/>
      <c r="C540" s="2190"/>
      <c r="D540" s="2190"/>
      <c r="E540" s="2190"/>
      <c r="F540" s="2190"/>
      <c r="G540" s="2191"/>
      <c r="H540" s="657"/>
      <c r="I540" s="833"/>
      <c r="J540" s="833"/>
      <c r="K540" s="657"/>
      <c r="L540" s="657"/>
      <c r="M540" s="657"/>
    </row>
    <row r="541" spans="1:13">
      <c r="A541" s="2332"/>
      <c r="B541" s="2333"/>
      <c r="C541" s="2195" t="s">
        <v>731</v>
      </c>
      <c r="D541" s="2196"/>
      <c r="E541" s="2196"/>
      <c r="F541" s="2197"/>
      <c r="G541" s="748"/>
      <c r="H541" s="657"/>
      <c r="I541" s="657"/>
      <c r="J541" s="657"/>
      <c r="K541" s="657"/>
      <c r="L541" s="657"/>
      <c r="M541" s="657"/>
    </row>
    <row r="542" spans="1:13">
      <c r="A542" s="2309"/>
      <c r="B542" s="2334"/>
      <c r="C542" s="2198" t="s">
        <v>307</v>
      </c>
      <c r="D542" s="2199"/>
      <c r="E542" s="2199"/>
      <c r="F542" s="2200"/>
      <c r="G542" s="811">
        <f>ROUNDUP(G508+G509+G510+G511+G512+G513+G514+G515,2)</f>
        <v>50.36</v>
      </c>
      <c r="H542" s="657"/>
      <c r="I542" s="657"/>
      <c r="J542" s="657"/>
      <c r="K542" s="657"/>
      <c r="L542" s="657"/>
      <c r="M542" s="657"/>
    </row>
    <row r="543" spans="1:13">
      <c r="A543" s="2309"/>
      <c r="B543" s="2334"/>
      <c r="C543" s="2195" t="s">
        <v>741</v>
      </c>
      <c r="D543" s="2196"/>
      <c r="E543" s="2196"/>
      <c r="F543" s="2197"/>
      <c r="G543" s="812"/>
      <c r="H543" s="657"/>
      <c r="I543" s="657"/>
      <c r="J543" s="657"/>
      <c r="K543" s="657"/>
      <c r="L543" s="657"/>
      <c r="M543" s="657"/>
    </row>
    <row r="544" spans="1:13">
      <c r="A544" s="2309"/>
      <c r="B544" s="2334"/>
      <c r="C544" s="2198" t="s">
        <v>307</v>
      </c>
      <c r="D544" s="2199"/>
      <c r="E544" s="2199"/>
      <c r="F544" s="2200"/>
      <c r="G544" s="811">
        <f>ROUNDUP(G518+G519+G520+G521+G522+G523+G524+G525+G526+G527,2)</f>
        <v>117.23</v>
      </c>
      <c r="H544" s="657"/>
      <c r="I544" s="657"/>
      <c r="J544" s="657"/>
      <c r="K544" s="657"/>
      <c r="L544" s="657"/>
      <c r="M544" s="657"/>
    </row>
    <row r="545" spans="1:13">
      <c r="A545" s="2309"/>
      <c r="B545" s="2334"/>
      <c r="C545" s="2195" t="s">
        <v>759</v>
      </c>
      <c r="D545" s="2196"/>
      <c r="E545" s="2196"/>
      <c r="F545" s="2197"/>
      <c r="G545" s="812"/>
      <c r="H545" s="657"/>
      <c r="I545" s="657"/>
      <c r="J545" s="657"/>
      <c r="K545" s="657"/>
      <c r="L545" s="657"/>
      <c r="M545" s="657"/>
    </row>
    <row r="546" spans="1:13">
      <c r="A546" s="2335"/>
      <c r="B546" s="2336"/>
      <c r="C546" s="2198" t="s">
        <v>307</v>
      </c>
      <c r="D546" s="2199"/>
      <c r="E546" s="2199"/>
      <c r="F546" s="2200"/>
      <c r="G546" s="811">
        <f>ROUNDUP(G530+G531+G532+G533+G534+G535+G536+G537+G538,2)</f>
        <v>346.59999999999997</v>
      </c>
      <c r="H546" s="657"/>
      <c r="I546" s="657"/>
      <c r="J546" s="657"/>
      <c r="K546" s="657"/>
      <c r="L546" s="657"/>
      <c r="M546" s="657"/>
    </row>
    <row r="547" spans="1:13" ht="15.75" thickBot="1">
      <c r="A547" s="2318" t="s">
        <v>340</v>
      </c>
      <c r="B547" s="2319"/>
      <c r="C547" s="2319"/>
      <c r="D547" s="2319"/>
      <c r="E547" s="2319"/>
      <c r="F547" s="2320"/>
      <c r="G547" s="832">
        <f>ROUNDUP(G542+G544+G546,2)</f>
        <v>514.19000000000005</v>
      </c>
      <c r="H547" s="657"/>
      <c r="I547" s="657"/>
      <c r="J547" s="657"/>
      <c r="K547" s="657"/>
      <c r="L547" s="657"/>
      <c r="M547" s="657"/>
    </row>
    <row r="548" spans="1:13" ht="15.75" thickBot="1">
      <c r="A548" s="829"/>
      <c r="B548" s="830"/>
      <c r="C548" s="830"/>
      <c r="D548" s="830"/>
      <c r="E548" s="830"/>
      <c r="F548" s="830"/>
      <c r="G548" s="831"/>
      <c r="H548" s="657"/>
      <c r="I548" s="657"/>
      <c r="J548" s="657"/>
      <c r="K548" s="657"/>
      <c r="L548" s="657"/>
      <c r="M548" s="657"/>
    </row>
    <row r="549" spans="1:13" ht="15.75" thickBot="1">
      <c r="A549" s="671" t="s">
        <v>114</v>
      </c>
      <c r="B549" s="2180" t="s">
        <v>814</v>
      </c>
      <c r="C549" s="2181"/>
      <c r="D549" s="2181"/>
      <c r="E549" s="2181"/>
      <c r="F549" s="2181"/>
      <c r="G549" s="2182"/>
      <c r="H549" s="657"/>
      <c r="I549" s="657"/>
      <c r="J549" s="657"/>
      <c r="K549" s="657"/>
      <c r="L549" s="657"/>
      <c r="M549" s="657"/>
    </row>
    <row r="550" spans="1:13">
      <c r="A550" s="2213" t="s">
        <v>303</v>
      </c>
      <c r="B550" s="2214"/>
      <c r="C550" s="2214"/>
      <c r="D550" s="2214"/>
      <c r="E550" s="2214"/>
      <c r="F550" s="2214"/>
      <c r="G550" s="2215"/>
      <c r="H550" s="657"/>
      <c r="I550" s="657"/>
      <c r="J550" s="657"/>
      <c r="K550" s="657"/>
      <c r="L550" s="657"/>
      <c r="M550" s="657"/>
    </row>
    <row r="551" spans="1:13">
      <c r="A551" s="2291" t="s">
        <v>385</v>
      </c>
      <c r="B551" s="2292"/>
      <c r="C551" s="2292"/>
      <c r="D551" s="2292"/>
      <c r="E551" s="2292"/>
      <c r="F551" s="2292"/>
      <c r="G551" s="2293"/>
      <c r="H551" s="657"/>
      <c r="I551" s="657"/>
      <c r="J551" s="657"/>
      <c r="K551" s="657"/>
      <c r="L551" s="657"/>
      <c r="M551" s="657"/>
    </row>
    <row r="552" spans="1:13">
      <c r="A552" s="686" t="s">
        <v>322</v>
      </c>
      <c r="B552" s="687" t="s">
        <v>322</v>
      </c>
      <c r="C552" s="687" t="s">
        <v>332</v>
      </c>
      <c r="D552" s="687" t="s">
        <v>333</v>
      </c>
      <c r="E552" s="687" t="s">
        <v>334</v>
      </c>
      <c r="F552" s="687" t="s">
        <v>335</v>
      </c>
      <c r="G552" s="745" t="s">
        <v>336</v>
      </c>
      <c r="H552" s="657"/>
      <c r="I552" s="657"/>
      <c r="J552" s="657"/>
      <c r="K552" s="657"/>
      <c r="L552" s="657"/>
      <c r="M552" s="657"/>
    </row>
    <row r="553" spans="1:13">
      <c r="A553" s="2201" t="s">
        <v>731</v>
      </c>
      <c r="B553" s="2202"/>
      <c r="C553" s="2202"/>
      <c r="D553" s="2202"/>
      <c r="E553" s="2202"/>
      <c r="F553" s="2202"/>
      <c r="G553" s="2203"/>
      <c r="H553" s="657"/>
      <c r="I553" s="657"/>
      <c r="J553" s="657"/>
      <c r="K553" s="657"/>
      <c r="L553" s="657"/>
      <c r="M553" s="657"/>
    </row>
    <row r="554" spans="1:13">
      <c r="A554" s="746">
        <v>1.5</v>
      </c>
      <c r="B554" s="723">
        <v>1.5</v>
      </c>
      <c r="C554" s="723">
        <v>2.82</v>
      </c>
      <c r="D554" s="723">
        <f>B554*C554</f>
        <v>4.2299999999999995</v>
      </c>
      <c r="E554" s="723"/>
      <c r="F554" s="723"/>
      <c r="G554" s="748">
        <f>D554</f>
        <v>4.2299999999999995</v>
      </c>
      <c r="H554" s="657"/>
      <c r="I554" s="657"/>
      <c r="J554" s="657"/>
      <c r="K554" s="657"/>
      <c r="L554" s="657"/>
      <c r="M554" s="657"/>
    </row>
    <row r="555" spans="1:13">
      <c r="A555" s="746">
        <v>1.5</v>
      </c>
      <c r="B555" s="723">
        <v>1.5</v>
      </c>
      <c r="C555" s="723">
        <v>2.2799999999999998</v>
      </c>
      <c r="D555" s="723">
        <f>B555*C555</f>
        <v>3.42</v>
      </c>
      <c r="E555" s="723"/>
      <c r="F555" s="723"/>
      <c r="G555" s="748">
        <f>D555</f>
        <v>3.42</v>
      </c>
      <c r="H555" s="657"/>
      <c r="I555" s="657"/>
      <c r="J555" s="657"/>
      <c r="K555" s="657"/>
      <c r="L555" s="657"/>
      <c r="M555" s="657"/>
    </row>
    <row r="556" spans="1:13">
      <c r="A556" s="2312"/>
      <c r="B556" s="2283"/>
      <c r="C556" s="2283"/>
      <c r="D556" s="2283"/>
      <c r="E556" s="2283"/>
      <c r="F556" s="2283"/>
      <c r="G556" s="2284"/>
      <c r="H556" s="657"/>
      <c r="I556" s="657"/>
      <c r="J556" s="657"/>
      <c r="K556" s="657"/>
      <c r="L556" s="657"/>
      <c r="M556" s="657"/>
    </row>
    <row r="557" spans="1:13">
      <c r="A557" s="2201" t="s">
        <v>741</v>
      </c>
      <c r="B557" s="2202"/>
      <c r="C557" s="2202"/>
      <c r="D557" s="2202"/>
      <c r="E557" s="2202"/>
      <c r="F557" s="2202"/>
      <c r="G557" s="2203"/>
      <c r="H557" s="657"/>
      <c r="I557" s="657"/>
      <c r="J557" s="657"/>
      <c r="K557" s="657"/>
      <c r="L557" s="657"/>
      <c r="M557" s="657"/>
    </row>
    <row r="558" spans="1:13">
      <c r="A558" s="746">
        <v>1.5</v>
      </c>
      <c r="B558" s="723">
        <v>1.5</v>
      </c>
      <c r="C558" s="723">
        <v>4.32</v>
      </c>
      <c r="D558" s="723">
        <f>B558*C558</f>
        <v>6.48</v>
      </c>
      <c r="E558" s="723"/>
      <c r="F558" s="723"/>
      <c r="G558" s="748">
        <f>D558</f>
        <v>6.48</v>
      </c>
      <c r="H558" s="657"/>
      <c r="I558" s="657"/>
      <c r="J558" s="657"/>
      <c r="K558" s="657"/>
      <c r="L558" s="657"/>
      <c r="M558" s="657"/>
    </row>
    <row r="559" spans="1:13">
      <c r="A559" s="701" t="s">
        <v>801</v>
      </c>
      <c r="B559" s="723">
        <v>2.5</v>
      </c>
      <c r="C559" s="723">
        <v>2.2799999999999998</v>
      </c>
      <c r="D559" s="723">
        <f>C559*B559</f>
        <v>5.6999999999999993</v>
      </c>
      <c r="E559" s="723"/>
      <c r="F559" s="723"/>
      <c r="G559" s="748">
        <f>D559-F559</f>
        <v>5.6999999999999993</v>
      </c>
      <c r="H559" s="657"/>
      <c r="I559" s="657"/>
      <c r="J559" s="657"/>
      <c r="K559" s="657"/>
      <c r="L559" s="657"/>
      <c r="M559" s="657"/>
    </row>
    <row r="560" spans="1:13">
      <c r="A560" s="2312"/>
      <c r="B560" s="2283"/>
      <c r="C560" s="2283"/>
      <c r="D560" s="2283"/>
      <c r="E560" s="2283"/>
      <c r="F560" s="2283"/>
      <c r="G560" s="2284"/>
      <c r="H560" s="657"/>
      <c r="I560" s="657"/>
      <c r="J560" s="657"/>
      <c r="K560" s="657"/>
      <c r="L560" s="657"/>
      <c r="M560" s="657"/>
    </row>
    <row r="561" spans="1:13">
      <c r="A561" s="2201" t="s">
        <v>759</v>
      </c>
      <c r="B561" s="2202"/>
      <c r="C561" s="2202"/>
      <c r="D561" s="2202"/>
      <c r="E561" s="2202"/>
      <c r="F561" s="2202"/>
      <c r="G561" s="2203"/>
      <c r="H561" s="657"/>
      <c r="I561" s="657"/>
      <c r="J561" s="657"/>
      <c r="K561" s="657"/>
      <c r="L561" s="657"/>
      <c r="M561" s="657"/>
    </row>
    <row r="562" spans="1:13" ht="36">
      <c r="A562" s="701" t="s">
        <v>804</v>
      </c>
      <c r="B562" s="723">
        <f>3.65+4.8</f>
        <v>8.4499999999999993</v>
      </c>
      <c r="C562" s="723">
        <v>4.32</v>
      </c>
      <c r="D562" s="723">
        <f>B562*C562</f>
        <v>36.503999999999998</v>
      </c>
      <c r="E562" s="747" t="s">
        <v>805</v>
      </c>
      <c r="F562" s="723">
        <f>(2.2*1.1)+(2.3+1.1)</f>
        <v>5.82</v>
      </c>
      <c r="G562" s="748">
        <f>D562-F562</f>
        <v>30.683999999999997</v>
      </c>
      <c r="H562" s="657"/>
      <c r="I562" s="657"/>
      <c r="J562" s="657"/>
      <c r="K562" s="657"/>
      <c r="L562" s="657"/>
      <c r="M562" s="657"/>
    </row>
    <row r="563" spans="1:13" ht="24">
      <c r="A563" s="701" t="s">
        <v>806</v>
      </c>
      <c r="B563" s="752">
        <f>9.8+4.15</f>
        <v>13.950000000000001</v>
      </c>
      <c r="C563" s="723">
        <v>2.82</v>
      </c>
      <c r="D563" s="723">
        <f>B563*C563</f>
        <v>39.338999999999999</v>
      </c>
      <c r="E563" s="747" t="s">
        <v>807</v>
      </c>
      <c r="F563" s="723">
        <f>1.1*0.6*6</f>
        <v>3.96</v>
      </c>
      <c r="G563" s="748">
        <f>D563-F563</f>
        <v>35.378999999999998</v>
      </c>
      <c r="H563" s="657"/>
      <c r="I563" s="657"/>
      <c r="J563" s="657"/>
      <c r="K563" s="657"/>
      <c r="L563" s="657"/>
      <c r="M563" s="657"/>
    </row>
    <row r="564" spans="1:13">
      <c r="A564" s="746">
        <v>9.8000000000000007</v>
      </c>
      <c r="B564" s="805">
        <v>9.8000000000000007</v>
      </c>
      <c r="C564" s="723">
        <v>2.2799999999999998</v>
      </c>
      <c r="D564" s="723">
        <f>C564*B564</f>
        <v>22.344000000000001</v>
      </c>
      <c r="E564" s="723"/>
      <c r="F564" s="723"/>
      <c r="G564" s="748">
        <f>D564-F564</f>
        <v>22.344000000000001</v>
      </c>
      <c r="H564" s="657"/>
      <c r="I564" s="657"/>
      <c r="J564" s="657"/>
      <c r="K564" s="657"/>
      <c r="L564" s="657"/>
      <c r="M564" s="657"/>
    </row>
    <row r="565" spans="1:13">
      <c r="A565" s="2312"/>
      <c r="B565" s="2283"/>
      <c r="C565" s="2283"/>
      <c r="D565" s="2283"/>
      <c r="E565" s="2283"/>
      <c r="F565" s="2283"/>
      <c r="G565" s="2284"/>
      <c r="H565" s="657"/>
      <c r="I565" s="657"/>
      <c r="J565" s="657"/>
      <c r="K565" s="657"/>
      <c r="L565" s="657"/>
      <c r="M565" s="657"/>
    </row>
    <row r="566" spans="1:13">
      <c r="A566" s="2273" t="s">
        <v>772</v>
      </c>
      <c r="B566" s="2190"/>
      <c r="C566" s="2190"/>
      <c r="D566" s="2190"/>
      <c r="E566" s="2190"/>
      <c r="F566" s="2190"/>
      <c r="G566" s="2191"/>
      <c r="H566" s="657"/>
      <c r="I566" s="657"/>
      <c r="J566" s="657"/>
      <c r="K566" s="657"/>
      <c r="L566" s="657"/>
      <c r="M566" s="657"/>
    </row>
    <row r="567" spans="1:13">
      <c r="A567" s="2332"/>
      <c r="B567" s="2333"/>
      <c r="C567" s="2195" t="s">
        <v>731</v>
      </c>
      <c r="D567" s="2196"/>
      <c r="E567" s="2196"/>
      <c r="F567" s="2197"/>
      <c r="G567" s="748"/>
      <c r="H567" s="657"/>
      <c r="I567" s="657"/>
      <c r="J567" s="657"/>
      <c r="K567" s="657"/>
      <c r="L567" s="657"/>
      <c r="M567" s="657"/>
    </row>
    <row r="568" spans="1:13">
      <c r="A568" s="2309"/>
      <c r="B568" s="2334"/>
      <c r="C568" s="2198" t="s">
        <v>307</v>
      </c>
      <c r="D568" s="2199"/>
      <c r="E568" s="2199"/>
      <c r="F568" s="2200"/>
      <c r="G568" s="811">
        <f>ROUNDUP(G554+G555,2)</f>
        <v>7.65</v>
      </c>
      <c r="H568" s="657"/>
      <c r="I568" s="657"/>
      <c r="J568" s="657"/>
      <c r="K568" s="657"/>
      <c r="L568" s="657"/>
      <c r="M568" s="657"/>
    </row>
    <row r="569" spans="1:13">
      <c r="A569" s="2309"/>
      <c r="B569" s="2334"/>
      <c r="C569" s="2195" t="s">
        <v>741</v>
      </c>
      <c r="D569" s="2196"/>
      <c r="E569" s="2196"/>
      <c r="F569" s="2197"/>
      <c r="G569" s="812"/>
      <c r="H569" s="657"/>
      <c r="I569" s="657"/>
      <c r="J569" s="657"/>
      <c r="K569" s="657"/>
      <c r="L569" s="657"/>
      <c r="M569" s="657"/>
    </row>
    <row r="570" spans="1:13">
      <c r="A570" s="2309"/>
      <c r="B570" s="2334"/>
      <c r="C570" s="2198" t="s">
        <v>307</v>
      </c>
      <c r="D570" s="2199"/>
      <c r="E570" s="2199"/>
      <c r="F570" s="2200"/>
      <c r="G570" s="811">
        <f>ROUNDUP(G558+G559,2)</f>
        <v>12.18</v>
      </c>
      <c r="H570" s="657"/>
      <c r="I570" s="657"/>
      <c r="J570" s="657"/>
      <c r="K570" s="657"/>
      <c r="L570" s="657"/>
      <c r="M570" s="657"/>
    </row>
    <row r="571" spans="1:13">
      <c r="A571" s="2309"/>
      <c r="B571" s="2334"/>
      <c r="C571" s="2195" t="s">
        <v>759</v>
      </c>
      <c r="D571" s="2196"/>
      <c r="E571" s="2196"/>
      <c r="F571" s="2197"/>
      <c r="G571" s="812"/>
      <c r="H571" s="657"/>
      <c r="I571" s="657"/>
      <c r="J571" s="657"/>
      <c r="K571" s="657"/>
      <c r="L571" s="657"/>
      <c r="M571" s="657"/>
    </row>
    <row r="572" spans="1:13">
      <c r="A572" s="2335"/>
      <c r="B572" s="2336"/>
      <c r="C572" s="2198" t="s">
        <v>307</v>
      </c>
      <c r="D572" s="2199"/>
      <c r="E572" s="2199"/>
      <c r="F572" s="2200"/>
      <c r="G572" s="811">
        <f>ROUNDUP(G562+G563+G564,2)</f>
        <v>88.410000000000011</v>
      </c>
      <c r="H572" s="657"/>
      <c r="I572" s="657"/>
      <c r="J572" s="657"/>
      <c r="K572" s="657"/>
      <c r="L572" s="657"/>
      <c r="M572" s="657"/>
    </row>
    <row r="573" spans="1:13" ht="15.75" thickBot="1">
      <c r="A573" s="2318" t="s">
        <v>340</v>
      </c>
      <c r="B573" s="2319"/>
      <c r="C573" s="2319"/>
      <c r="D573" s="2319"/>
      <c r="E573" s="2319"/>
      <c r="F573" s="2320"/>
      <c r="G573" s="832">
        <f>ROUNDUP(G568+G570+G572,2)</f>
        <v>108.24</v>
      </c>
      <c r="H573" s="657"/>
      <c r="I573" s="657"/>
      <c r="J573" s="657"/>
      <c r="K573" s="657"/>
      <c r="L573" s="657"/>
      <c r="M573" s="657"/>
    </row>
    <row r="574" spans="1:13" ht="15.75" thickBot="1">
      <c r="A574" s="829"/>
      <c r="B574" s="830"/>
      <c r="C574" s="830"/>
      <c r="D574" s="830"/>
      <c r="E574" s="830"/>
      <c r="F574" s="830"/>
      <c r="G574" s="831"/>
      <c r="H574" s="657"/>
      <c r="I574" s="657"/>
      <c r="J574" s="657"/>
      <c r="K574" s="657"/>
      <c r="L574" s="657"/>
      <c r="M574" s="657"/>
    </row>
    <row r="575" spans="1:13" ht="15.75" thickBot="1">
      <c r="A575" s="671" t="s">
        <v>115</v>
      </c>
      <c r="B575" s="2180" t="s">
        <v>2060</v>
      </c>
      <c r="C575" s="2181"/>
      <c r="D575" s="2181"/>
      <c r="E575" s="2181"/>
      <c r="F575" s="2181"/>
      <c r="G575" s="2182"/>
      <c r="H575" s="657"/>
      <c r="I575" s="810"/>
      <c r="J575" s="657"/>
      <c r="K575" s="657"/>
      <c r="L575" s="657"/>
      <c r="M575" s="657"/>
    </row>
    <row r="576" spans="1:13">
      <c r="A576" s="2213" t="s">
        <v>303</v>
      </c>
      <c r="B576" s="2214"/>
      <c r="C576" s="2214"/>
      <c r="D576" s="2214"/>
      <c r="E576" s="2214"/>
      <c r="F576" s="2214"/>
      <c r="G576" s="2215"/>
      <c r="H576" s="657"/>
      <c r="I576" s="657"/>
      <c r="J576" s="657"/>
      <c r="K576" s="657"/>
      <c r="L576" s="657"/>
      <c r="M576" s="657"/>
    </row>
    <row r="577" spans="1:13">
      <c r="A577" s="2291" t="s">
        <v>385</v>
      </c>
      <c r="B577" s="2292"/>
      <c r="C577" s="2292"/>
      <c r="D577" s="2292"/>
      <c r="E577" s="2292"/>
      <c r="F577" s="2292"/>
      <c r="G577" s="2293"/>
      <c r="H577" s="657"/>
      <c r="I577" s="657"/>
      <c r="J577" s="657"/>
      <c r="K577" s="657"/>
      <c r="L577" s="657"/>
      <c r="M577" s="657"/>
    </row>
    <row r="578" spans="1:13">
      <c r="A578" s="686" t="s">
        <v>322</v>
      </c>
      <c r="B578" s="687" t="s">
        <v>322</v>
      </c>
      <c r="C578" s="687" t="s">
        <v>332</v>
      </c>
      <c r="D578" s="687" t="s">
        <v>333</v>
      </c>
      <c r="E578" s="687" t="s">
        <v>334</v>
      </c>
      <c r="F578" s="687" t="s">
        <v>335</v>
      </c>
      <c r="G578" s="745" t="s">
        <v>336</v>
      </c>
      <c r="H578" s="657"/>
      <c r="I578" s="657"/>
      <c r="J578" s="657"/>
      <c r="K578" s="657"/>
      <c r="L578" s="657"/>
      <c r="M578" s="657"/>
    </row>
    <row r="579" spans="1:13">
      <c r="A579" s="2201" t="s">
        <v>731</v>
      </c>
      <c r="B579" s="2202"/>
      <c r="C579" s="2202"/>
      <c r="D579" s="2202"/>
      <c r="E579" s="2202"/>
      <c r="F579" s="2202"/>
      <c r="G579" s="2203"/>
      <c r="H579" s="657"/>
      <c r="I579" s="657"/>
      <c r="J579" s="657"/>
      <c r="K579" s="657"/>
      <c r="L579" s="657"/>
      <c r="M579" s="657"/>
    </row>
    <row r="580" spans="1:13" ht="24">
      <c r="A580" s="701" t="s">
        <v>793</v>
      </c>
      <c r="B580" s="723">
        <f>4.75+9.5+4.75</f>
        <v>19</v>
      </c>
      <c r="C580" s="723">
        <v>0.15</v>
      </c>
      <c r="D580" s="723">
        <f t="shared" ref="D580:D585" si="21">C580*B580</f>
        <v>2.85</v>
      </c>
      <c r="E580" s="723"/>
      <c r="F580" s="723"/>
      <c r="G580" s="748">
        <f t="shared" ref="G580:G585" si="22">D580-F580</f>
        <v>2.85</v>
      </c>
      <c r="H580" s="657"/>
      <c r="I580" s="657"/>
      <c r="J580" s="657"/>
      <c r="K580" s="657"/>
      <c r="L580" s="657"/>
      <c r="M580" s="657"/>
    </row>
    <row r="581" spans="1:13" ht="36">
      <c r="A581" s="701" t="s">
        <v>794</v>
      </c>
      <c r="B581" s="723">
        <f>4.15+4+1.6+3.08+4.5+1.65+5.15+4</f>
        <v>28.129999999999995</v>
      </c>
      <c r="C581" s="723">
        <v>0.15</v>
      </c>
      <c r="D581" s="723">
        <f t="shared" si="21"/>
        <v>4.2194999999999991</v>
      </c>
      <c r="E581" s="723"/>
      <c r="F581" s="723"/>
      <c r="G581" s="748">
        <f t="shared" si="22"/>
        <v>4.2194999999999991</v>
      </c>
      <c r="H581" s="657"/>
      <c r="I581" s="657"/>
      <c r="J581" s="657"/>
      <c r="K581" s="657"/>
      <c r="L581" s="657"/>
      <c r="M581" s="657"/>
    </row>
    <row r="582" spans="1:13" ht="24">
      <c r="A582" s="701" t="s">
        <v>795</v>
      </c>
      <c r="B582" s="723">
        <f>3.85+3.85+9.8+9.8</f>
        <v>27.3</v>
      </c>
      <c r="C582" s="723">
        <v>0.15</v>
      </c>
      <c r="D582" s="723">
        <f t="shared" si="21"/>
        <v>4.0949999999999998</v>
      </c>
      <c r="E582" s="723"/>
      <c r="F582" s="723"/>
      <c r="G582" s="748">
        <f t="shared" si="22"/>
        <v>4.0949999999999998</v>
      </c>
      <c r="H582" s="657"/>
      <c r="I582" s="657"/>
      <c r="J582" s="657"/>
      <c r="K582" s="657"/>
      <c r="L582" s="657"/>
      <c r="M582" s="657"/>
    </row>
    <row r="583" spans="1:13" ht="36">
      <c r="A583" s="701" t="s">
        <v>796</v>
      </c>
      <c r="B583" s="723">
        <f>7.8+7.5+17.1+3.35</f>
        <v>35.750000000000007</v>
      </c>
      <c r="C583" s="723">
        <v>0.15</v>
      </c>
      <c r="D583" s="723">
        <f t="shared" si="21"/>
        <v>5.3625000000000007</v>
      </c>
      <c r="E583" s="723"/>
      <c r="F583" s="723"/>
      <c r="G583" s="748">
        <f t="shared" si="22"/>
        <v>5.3625000000000007</v>
      </c>
      <c r="H583" s="657"/>
      <c r="I583" s="657"/>
      <c r="J583" s="657"/>
      <c r="K583" s="657"/>
      <c r="L583" s="657"/>
      <c r="M583" s="657"/>
    </row>
    <row r="584" spans="1:13" ht="24">
      <c r="A584" s="701" t="s">
        <v>797</v>
      </c>
      <c r="B584" s="723">
        <f>3.35+1.8</f>
        <v>5.15</v>
      </c>
      <c r="C584" s="723">
        <v>1.28</v>
      </c>
      <c r="D584" s="723">
        <f t="shared" si="21"/>
        <v>6.5920000000000005</v>
      </c>
      <c r="E584" s="723"/>
      <c r="F584" s="723"/>
      <c r="G584" s="748">
        <f t="shared" si="22"/>
        <v>6.5920000000000005</v>
      </c>
      <c r="H584" s="657"/>
      <c r="I584" s="657"/>
      <c r="J584" s="657"/>
      <c r="K584" s="657"/>
      <c r="L584" s="657"/>
      <c r="M584" s="657"/>
    </row>
    <row r="585" spans="1:13" ht="24">
      <c r="A585" s="701" t="s">
        <v>798</v>
      </c>
      <c r="B585" s="723">
        <f>7.8+7.5</f>
        <v>15.3</v>
      </c>
      <c r="C585" s="723">
        <v>1.28</v>
      </c>
      <c r="D585" s="723">
        <f t="shared" si="21"/>
        <v>19.584</v>
      </c>
      <c r="E585" s="723"/>
      <c r="F585" s="723"/>
      <c r="G585" s="748">
        <f t="shared" si="22"/>
        <v>19.584</v>
      </c>
      <c r="H585" s="657"/>
      <c r="I585" s="657"/>
      <c r="J585" s="657"/>
      <c r="K585" s="657"/>
      <c r="L585" s="657"/>
      <c r="M585" s="657"/>
    </row>
    <row r="586" spans="1:13">
      <c r="A586" s="2312"/>
      <c r="B586" s="2283"/>
      <c r="C586" s="2283"/>
      <c r="D586" s="2283"/>
      <c r="E586" s="2283"/>
      <c r="F586" s="2283"/>
      <c r="G586" s="2284"/>
      <c r="H586" s="657"/>
      <c r="I586" s="657"/>
      <c r="J586" s="657"/>
      <c r="K586" s="657"/>
      <c r="L586" s="657"/>
      <c r="M586" s="657"/>
    </row>
    <row r="587" spans="1:13">
      <c r="A587" s="2201" t="s">
        <v>741</v>
      </c>
      <c r="B587" s="2202"/>
      <c r="C587" s="2202"/>
      <c r="D587" s="2202"/>
      <c r="E587" s="2202"/>
      <c r="F587" s="2202"/>
      <c r="G587" s="2203"/>
      <c r="H587" s="657"/>
      <c r="I587" s="657"/>
      <c r="J587" s="657"/>
      <c r="K587" s="657"/>
      <c r="L587" s="657"/>
      <c r="M587" s="657"/>
    </row>
    <row r="588" spans="1:13">
      <c r="A588" s="746">
        <v>4.1500000000000004</v>
      </c>
      <c r="B588" s="723">
        <v>4.1500000000000004</v>
      </c>
      <c r="C588" s="723">
        <v>2.2799999999999998</v>
      </c>
      <c r="D588" s="723">
        <f t="shared" ref="D588:D594" si="23">C588*B588</f>
        <v>9.4619999999999997</v>
      </c>
      <c r="E588" s="723"/>
      <c r="F588" s="723"/>
      <c r="G588" s="748">
        <f>D588*C588</f>
        <v>21.573359999999997</v>
      </c>
      <c r="H588" s="657"/>
      <c r="I588" s="657"/>
      <c r="J588" s="657"/>
      <c r="K588" s="657"/>
      <c r="L588" s="657"/>
      <c r="M588" s="657"/>
    </row>
    <row r="589" spans="1:13">
      <c r="A589" s="746">
        <v>3.35</v>
      </c>
      <c r="B589" s="723">
        <v>3.35</v>
      </c>
      <c r="C589" s="723">
        <v>4.32</v>
      </c>
      <c r="D589" s="723">
        <f t="shared" si="23"/>
        <v>14.472000000000001</v>
      </c>
      <c r="E589" s="723"/>
      <c r="F589" s="723"/>
      <c r="G589" s="748">
        <f>D589</f>
        <v>14.472000000000001</v>
      </c>
      <c r="H589" s="657"/>
      <c r="I589" s="657"/>
      <c r="J589" s="657"/>
      <c r="K589" s="657"/>
      <c r="L589" s="657"/>
      <c r="M589" s="657"/>
    </row>
    <row r="590" spans="1:13">
      <c r="A590" s="746">
        <v>2.35</v>
      </c>
      <c r="B590" s="723">
        <v>2.35</v>
      </c>
      <c r="C590" s="723">
        <v>4.32</v>
      </c>
      <c r="D590" s="723">
        <f t="shared" si="23"/>
        <v>10.152000000000001</v>
      </c>
      <c r="E590" s="747" t="s">
        <v>749</v>
      </c>
      <c r="F590" s="723">
        <f>2.2*1.1</f>
        <v>2.4200000000000004</v>
      </c>
      <c r="G590" s="748">
        <f>D590-F590</f>
        <v>7.7320000000000011</v>
      </c>
      <c r="H590" s="657"/>
      <c r="I590" s="657"/>
      <c r="J590" s="657"/>
      <c r="K590" s="657"/>
      <c r="L590" s="657"/>
      <c r="M590" s="657"/>
    </row>
    <row r="591" spans="1:13">
      <c r="A591" s="746">
        <v>4.1500000000000004</v>
      </c>
      <c r="B591" s="723">
        <v>4.1500000000000004</v>
      </c>
      <c r="C591" s="723">
        <v>1.27</v>
      </c>
      <c r="D591" s="723">
        <f t="shared" si="23"/>
        <v>5.2705000000000002</v>
      </c>
      <c r="E591" s="723"/>
      <c r="F591" s="723"/>
      <c r="G591" s="748">
        <f>D591</f>
        <v>5.2705000000000002</v>
      </c>
      <c r="H591" s="657"/>
      <c r="I591" s="657"/>
      <c r="J591" s="657"/>
      <c r="K591" s="657"/>
      <c r="L591" s="657"/>
      <c r="M591" s="657"/>
    </row>
    <row r="592" spans="1:13">
      <c r="A592" s="701" t="s">
        <v>799</v>
      </c>
      <c r="B592" s="723">
        <v>4.1500000000000004</v>
      </c>
      <c r="C592" s="723">
        <v>1.27</v>
      </c>
      <c r="D592" s="723">
        <f t="shared" si="23"/>
        <v>5.2705000000000002</v>
      </c>
      <c r="E592" s="723"/>
      <c r="F592" s="723"/>
      <c r="G592" s="748">
        <f>D592</f>
        <v>5.2705000000000002</v>
      </c>
      <c r="H592" s="657"/>
      <c r="I592" s="657"/>
      <c r="J592" s="657"/>
      <c r="K592" s="657"/>
      <c r="L592" s="657"/>
      <c r="M592" s="657"/>
    </row>
    <row r="593" spans="1:13" ht="24">
      <c r="A593" s="701" t="s">
        <v>800</v>
      </c>
      <c r="B593" s="723">
        <f>4.45+4.6+4.6</f>
        <v>13.65</v>
      </c>
      <c r="C593" s="723">
        <v>1.78</v>
      </c>
      <c r="D593" s="723">
        <f t="shared" si="23"/>
        <v>24.297000000000001</v>
      </c>
      <c r="E593" s="723"/>
      <c r="F593" s="723"/>
      <c r="G593" s="748">
        <f>D593</f>
        <v>24.297000000000001</v>
      </c>
      <c r="H593" s="657"/>
      <c r="I593" s="657"/>
      <c r="J593" s="657"/>
      <c r="K593" s="657"/>
      <c r="L593" s="657"/>
      <c r="M593" s="657"/>
    </row>
    <row r="594" spans="1:13" ht="24">
      <c r="A594" s="701" t="s">
        <v>802</v>
      </c>
      <c r="B594" s="723">
        <f>3.85+3.85</f>
        <v>7.7</v>
      </c>
      <c r="C594" s="723">
        <v>2.2799999999999998</v>
      </c>
      <c r="D594" s="723">
        <f t="shared" si="23"/>
        <v>17.555999999999997</v>
      </c>
      <c r="E594" s="723"/>
      <c r="F594" s="723"/>
      <c r="G594" s="748">
        <f>D594</f>
        <v>17.555999999999997</v>
      </c>
      <c r="H594" s="657"/>
      <c r="I594" s="657"/>
      <c r="J594" s="657"/>
      <c r="K594" s="657"/>
      <c r="L594" s="657"/>
      <c r="M594" s="657"/>
    </row>
    <row r="595" spans="1:13" ht="24">
      <c r="A595" s="806" t="s">
        <v>803</v>
      </c>
      <c r="B595" s="807">
        <v>4.5999999999999996</v>
      </c>
      <c r="C595" s="784">
        <v>1.93</v>
      </c>
      <c r="D595" s="784">
        <f>B595*C595</f>
        <v>8.8779999999999983</v>
      </c>
      <c r="E595" s="784"/>
      <c r="F595" s="784"/>
      <c r="G595" s="809">
        <f>D595-F595</f>
        <v>8.8779999999999983</v>
      </c>
      <c r="H595" s="657"/>
      <c r="I595" s="657"/>
      <c r="J595" s="657"/>
      <c r="K595" s="657"/>
      <c r="L595" s="657"/>
      <c r="M595" s="657"/>
    </row>
    <row r="596" spans="1:13">
      <c r="A596" s="2312"/>
      <c r="B596" s="2283"/>
      <c r="C596" s="2283"/>
      <c r="D596" s="2283"/>
      <c r="E596" s="2283"/>
      <c r="F596" s="2283"/>
      <c r="G596" s="2284"/>
      <c r="H596" s="657"/>
      <c r="I596" s="657"/>
      <c r="J596" s="657"/>
      <c r="K596" s="657"/>
      <c r="L596" s="657"/>
      <c r="M596" s="657"/>
    </row>
    <row r="597" spans="1:13">
      <c r="A597" s="2201" t="s">
        <v>759</v>
      </c>
      <c r="B597" s="2202"/>
      <c r="C597" s="2202"/>
      <c r="D597" s="2202"/>
      <c r="E597" s="2202"/>
      <c r="F597" s="2202"/>
      <c r="G597" s="2203"/>
      <c r="H597" s="657"/>
      <c r="I597" s="657"/>
      <c r="J597" s="657"/>
      <c r="K597" s="657"/>
      <c r="L597" s="657"/>
      <c r="M597" s="657"/>
    </row>
    <row r="598" spans="1:13" ht="36">
      <c r="A598" s="701" t="s">
        <v>804</v>
      </c>
      <c r="B598" s="723">
        <f>3.65+4.8</f>
        <v>8.4499999999999993</v>
      </c>
      <c r="C598" s="723">
        <v>4.32</v>
      </c>
      <c r="D598" s="723">
        <f>B598*C598</f>
        <v>36.503999999999998</v>
      </c>
      <c r="E598" s="747" t="s">
        <v>805</v>
      </c>
      <c r="F598" s="723">
        <f>(2.2*1.1)+(2.3+1.1)</f>
        <v>5.82</v>
      </c>
      <c r="G598" s="748">
        <f>D598-F598</f>
        <v>30.683999999999997</v>
      </c>
      <c r="H598" s="657"/>
      <c r="I598" s="657"/>
      <c r="J598" s="657"/>
      <c r="K598" s="657"/>
      <c r="L598" s="657"/>
      <c r="M598" s="657"/>
    </row>
    <row r="599" spans="1:13" ht="60">
      <c r="A599" s="701" t="s">
        <v>808</v>
      </c>
      <c r="B599" s="805">
        <f>7.8+7.8+17.25</f>
        <v>32.85</v>
      </c>
      <c r="C599" s="723">
        <v>4.32</v>
      </c>
      <c r="D599" s="723">
        <f>B599*C599</f>
        <v>141.91200000000001</v>
      </c>
      <c r="E599" s="747" t="s">
        <v>809</v>
      </c>
      <c r="F599" s="723">
        <f>((2.3*1.1)*3)+((1.1*0.6)*2)+(1.6*2.1)</f>
        <v>12.27</v>
      </c>
      <c r="G599" s="748">
        <f>D599-F599</f>
        <v>129.642</v>
      </c>
      <c r="H599" s="657"/>
      <c r="I599" s="657"/>
      <c r="J599" s="657"/>
      <c r="K599" s="657"/>
      <c r="L599" s="657"/>
      <c r="M599" s="657"/>
    </row>
    <row r="600" spans="1:13">
      <c r="A600" s="746">
        <v>5.15</v>
      </c>
      <c r="B600" s="805">
        <v>5.15</v>
      </c>
      <c r="C600" s="723">
        <v>4.2699999999999996</v>
      </c>
      <c r="D600" s="723">
        <f>B600*C600</f>
        <v>21.990500000000001</v>
      </c>
      <c r="E600" s="723"/>
      <c r="F600" s="723"/>
      <c r="G600" s="748">
        <f>D600</f>
        <v>21.990500000000001</v>
      </c>
      <c r="H600" s="657"/>
      <c r="I600" s="657"/>
      <c r="J600" s="657"/>
      <c r="K600" s="657"/>
      <c r="L600" s="657"/>
      <c r="M600" s="657"/>
    </row>
    <row r="601" spans="1:13" ht="24">
      <c r="A601" s="746">
        <v>4.1500000000000004</v>
      </c>
      <c r="B601" s="805">
        <v>4.1500000000000004</v>
      </c>
      <c r="C601" s="723">
        <v>2.84</v>
      </c>
      <c r="D601" s="723">
        <f>B601*C601</f>
        <v>11.786</v>
      </c>
      <c r="E601" s="747" t="s">
        <v>810</v>
      </c>
      <c r="F601" s="723">
        <f>(1.3*2.1)+(2.3*1.1)</f>
        <v>5.26</v>
      </c>
      <c r="G601" s="748">
        <f>D601-F601</f>
        <v>6.5259999999999998</v>
      </c>
      <c r="H601" s="657"/>
      <c r="I601" s="657"/>
      <c r="J601" s="657"/>
      <c r="K601" s="657"/>
      <c r="L601" s="657"/>
      <c r="M601" s="657"/>
    </row>
    <row r="602" spans="1:13">
      <c r="A602" s="701" t="s">
        <v>811</v>
      </c>
      <c r="B602" s="723">
        <v>7.5</v>
      </c>
      <c r="C602" s="723">
        <v>1.78</v>
      </c>
      <c r="D602" s="723">
        <f>C602*B602</f>
        <v>13.35</v>
      </c>
      <c r="E602" s="723"/>
      <c r="F602" s="723"/>
      <c r="G602" s="748">
        <f>D602-F602</f>
        <v>13.35</v>
      </c>
      <c r="H602" s="657"/>
      <c r="I602" s="657"/>
      <c r="J602" s="657"/>
      <c r="K602" s="657"/>
      <c r="L602" s="657"/>
      <c r="M602" s="657"/>
    </row>
    <row r="603" spans="1:13">
      <c r="A603" s="701" t="s">
        <v>812</v>
      </c>
      <c r="B603" s="723">
        <v>16.95</v>
      </c>
      <c r="C603" s="723">
        <v>1.28</v>
      </c>
      <c r="D603" s="723">
        <f>C603*B603</f>
        <v>21.695999999999998</v>
      </c>
      <c r="E603" s="723"/>
      <c r="F603" s="723"/>
      <c r="G603" s="748">
        <f>D603-F603</f>
        <v>21.695999999999998</v>
      </c>
      <c r="H603" s="657"/>
      <c r="I603" s="657"/>
      <c r="J603" s="657"/>
      <c r="K603" s="657"/>
      <c r="L603" s="657"/>
      <c r="M603" s="657"/>
    </row>
    <row r="604" spans="1:13" ht="24">
      <c r="A604" s="701" t="s">
        <v>813</v>
      </c>
      <c r="B604" s="723">
        <f>9.5+9.5+9.5</f>
        <v>28.5</v>
      </c>
      <c r="C604" s="723">
        <v>2.2799999999999998</v>
      </c>
      <c r="D604" s="723">
        <f>C604*B604</f>
        <v>64.97999999999999</v>
      </c>
      <c r="E604" s="723"/>
      <c r="F604" s="723"/>
      <c r="G604" s="748">
        <f>D604-F604</f>
        <v>64.97999999999999</v>
      </c>
      <c r="H604" s="657"/>
      <c r="I604" s="657"/>
      <c r="J604" s="657"/>
      <c r="K604" s="657"/>
      <c r="L604" s="657"/>
      <c r="M604" s="657"/>
    </row>
    <row r="605" spans="1:13">
      <c r="A605" s="2312"/>
      <c r="B605" s="2283"/>
      <c r="C605" s="2283"/>
      <c r="D605" s="2283"/>
      <c r="E605" s="2283"/>
      <c r="F605" s="2283"/>
      <c r="G605" s="2284"/>
      <c r="H605" s="657"/>
      <c r="I605" s="657"/>
      <c r="J605" s="657"/>
      <c r="K605" s="657"/>
      <c r="L605" s="657"/>
      <c r="M605" s="657"/>
    </row>
    <row r="606" spans="1:13">
      <c r="A606" s="2273" t="s">
        <v>2055</v>
      </c>
      <c r="B606" s="2190"/>
      <c r="C606" s="2190"/>
      <c r="D606" s="2190"/>
      <c r="E606" s="2190"/>
      <c r="F606" s="2190"/>
      <c r="G606" s="2191"/>
      <c r="H606" s="657"/>
      <c r="I606" s="810"/>
      <c r="J606" s="657"/>
      <c r="K606" s="657"/>
      <c r="L606" s="657"/>
      <c r="M606" s="657"/>
    </row>
    <row r="607" spans="1:13">
      <c r="A607" s="2332"/>
      <c r="B607" s="2333"/>
      <c r="C607" s="2195" t="s">
        <v>731</v>
      </c>
      <c r="D607" s="2196"/>
      <c r="E607" s="2196"/>
      <c r="F607" s="2197"/>
      <c r="G607" s="748"/>
      <c r="H607" s="657"/>
      <c r="I607" s="657"/>
      <c r="J607" s="657"/>
      <c r="K607" s="657"/>
      <c r="L607" s="657"/>
      <c r="M607" s="657"/>
    </row>
    <row r="608" spans="1:13">
      <c r="A608" s="2309"/>
      <c r="B608" s="2334"/>
      <c r="C608" s="2198" t="s">
        <v>307</v>
      </c>
      <c r="D608" s="2199"/>
      <c r="E608" s="2199"/>
      <c r="F608" s="2200"/>
      <c r="G608" s="811">
        <f>ROUNDUP(G580+G581+G582+G583+G584+G585,2)</f>
        <v>42.71</v>
      </c>
      <c r="H608" s="657"/>
      <c r="I608" s="657"/>
      <c r="J608" s="657"/>
      <c r="K608" s="657"/>
      <c r="L608" s="657"/>
      <c r="M608" s="657"/>
    </row>
    <row r="609" spans="1:13">
      <c r="A609" s="2309"/>
      <c r="B609" s="2334"/>
      <c r="C609" s="2195" t="s">
        <v>741</v>
      </c>
      <c r="D609" s="2196"/>
      <c r="E609" s="2196"/>
      <c r="F609" s="2197"/>
      <c r="G609" s="812"/>
      <c r="H609" s="657"/>
      <c r="I609" s="657"/>
      <c r="J609" s="657"/>
      <c r="K609" s="657"/>
      <c r="L609" s="657"/>
      <c r="M609" s="657"/>
    </row>
    <row r="610" spans="1:13">
      <c r="A610" s="2309"/>
      <c r="B610" s="2334"/>
      <c r="C610" s="2198" t="s">
        <v>307</v>
      </c>
      <c r="D610" s="2199"/>
      <c r="E610" s="2199"/>
      <c r="F610" s="2200"/>
      <c r="G610" s="811">
        <f>ROUNDUP(G588+G589+G590+G591+G592+G593+G594+G595,2)</f>
        <v>105.05000000000001</v>
      </c>
      <c r="H610" s="657"/>
      <c r="I610" s="657"/>
      <c r="J610" s="657"/>
      <c r="K610" s="657"/>
      <c r="L610" s="657"/>
      <c r="M610" s="657"/>
    </row>
    <row r="611" spans="1:13">
      <c r="A611" s="2309"/>
      <c r="B611" s="2334"/>
      <c r="C611" s="2195" t="s">
        <v>759</v>
      </c>
      <c r="D611" s="2196"/>
      <c r="E611" s="2196"/>
      <c r="F611" s="2197"/>
      <c r="G611" s="812"/>
      <c r="H611" s="657"/>
      <c r="I611" s="657"/>
      <c r="J611" s="657"/>
      <c r="K611" s="657"/>
      <c r="L611" s="657"/>
      <c r="M611" s="657"/>
    </row>
    <row r="612" spans="1:13">
      <c r="A612" s="2335"/>
      <c r="B612" s="2336"/>
      <c r="C612" s="2198" t="s">
        <v>307</v>
      </c>
      <c r="D612" s="2199"/>
      <c r="E612" s="2199"/>
      <c r="F612" s="2200"/>
      <c r="G612" s="811">
        <f>ROUNDUP(G598+G599+G600+G601+G602+G603+G604,2)</f>
        <v>288.87</v>
      </c>
      <c r="H612" s="657"/>
      <c r="I612" s="657"/>
      <c r="J612" s="657"/>
      <c r="K612" s="657"/>
      <c r="L612" s="657"/>
      <c r="M612" s="657"/>
    </row>
    <row r="613" spans="1:13" ht="15.75" thickBot="1">
      <c r="A613" s="2318" t="s">
        <v>340</v>
      </c>
      <c r="B613" s="2319"/>
      <c r="C613" s="2319"/>
      <c r="D613" s="2319"/>
      <c r="E613" s="2319"/>
      <c r="F613" s="2320"/>
      <c r="G613" s="832">
        <f>ROUNDUP(G608+G610+G612,2)</f>
        <v>436.63</v>
      </c>
      <c r="H613" s="657"/>
      <c r="I613" s="657"/>
      <c r="J613" s="657"/>
      <c r="K613" s="657"/>
      <c r="L613" s="657"/>
      <c r="M613" s="657"/>
    </row>
    <row r="614" spans="1:13" ht="15.75" thickBot="1">
      <c r="A614" s="834"/>
      <c r="B614" s="835"/>
      <c r="C614" s="835"/>
      <c r="D614" s="835"/>
      <c r="E614" s="835"/>
      <c r="F614" s="835"/>
      <c r="G614" s="836"/>
      <c r="H614" s="657"/>
      <c r="I614" s="657"/>
      <c r="J614" s="657"/>
      <c r="K614" s="657"/>
      <c r="L614" s="657"/>
      <c r="M614" s="657"/>
    </row>
    <row r="615" spans="1:13" ht="15.75" thickBot="1">
      <c r="A615" s="671" t="s">
        <v>580</v>
      </c>
      <c r="B615" s="2180" t="s">
        <v>815</v>
      </c>
      <c r="C615" s="2181"/>
      <c r="D615" s="2181"/>
      <c r="E615" s="2181"/>
      <c r="F615" s="2181"/>
      <c r="G615" s="2182"/>
      <c r="H615" s="657"/>
      <c r="I615" s="657"/>
      <c r="J615" s="657"/>
      <c r="K615" s="657"/>
      <c r="L615" s="657"/>
      <c r="M615" s="657"/>
    </row>
    <row r="616" spans="1:13">
      <c r="A616" s="2213" t="s">
        <v>303</v>
      </c>
      <c r="B616" s="2214"/>
      <c r="C616" s="2214"/>
      <c r="D616" s="2214"/>
      <c r="E616" s="2214"/>
      <c r="F616" s="2214"/>
      <c r="G616" s="2215"/>
      <c r="H616" s="657"/>
      <c r="I616" s="657"/>
      <c r="J616" s="657"/>
      <c r="K616" s="657"/>
      <c r="L616" s="657"/>
      <c r="M616" s="657"/>
    </row>
    <row r="617" spans="1:13">
      <c r="A617" s="2291" t="s">
        <v>385</v>
      </c>
      <c r="B617" s="2292"/>
      <c r="C617" s="2292"/>
      <c r="D617" s="2292"/>
      <c r="E617" s="2292"/>
      <c r="F617" s="2292"/>
      <c r="G617" s="2293"/>
      <c r="H617" s="657"/>
      <c r="I617" s="657"/>
      <c r="J617" s="657"/>
      <c r="K617" s="657"/>
      <c r="L617" s="657"/>
      <c r="M617" s="657"/>
    </row>
    <row r="618" spans="1:13">
      <c r="A618" s="686" t="s">
        <v>322</v>
      </c>
      <c r="B618" s="687" t="s">
        <v>322</v>
      </c>
      <c r="C618" s="687" t="s">
        <v>332</v>
      </c>
      <c r="D618" s="687" t="s">
        <v>333</v>
      </c>
      <c r="E618" s="687" t="s">
        <v>334</v>
      </c>
      <c r="F618" s="687" t="s">
        <v>335</v>
      </c>
      <c r="G618" s="745" t="s">
        <v>336</v>
      </c>
      <c r="H618" s="657"/>
      <c r="I618" s="657"/>
      <c r="J618" s="657"/>
      <c r="K618" s="657"/>
      <c r="L618" s="657"/>
      <c r="M618" s="657"/>
    </row>
    <row r="619" spans="1:13">
      <c r="A619" s="2201" t="s">
        <v>731</v>
      </c>
      <c r="B619" s="2202"/>
      <c r="C619" s="2202"/>
      <c r="D619" s="2202"/>
      <c r="E619" s="2202"/>
      <c r="F619" s="2202"/>
      <c r="G619" s="2203"/>
      <c r="H619" s="657"/>
      <c r="I619" s="657"/>
      <c r="J619" s="657"/>
      <c r="K619" s="657"/>
      <c r="L619" s="657"/>
      <c r="M619" s="657"/>
    </row>
    <row r="620" spans="1:13">
      <c r="A620" s="746">
        <v>1.5</v>
      </c>
      <c r="B620" s="723">
        <v>1.5</v>
      </c>
      <c r="C620" s="723">
        <v>2.82</v>
      </c>
      <c r="D620" s="723">
        <f>B620*C620</f>
        <v>4.2299999999999995</v>
      </c>
      <c r="E620" s="723"/>
      <c r="F620" s="723"/>
      <c r="G620" s="748">
        <f>D620</f>
        <v>4.2299999999999995</v>
      </c>
      <c r="H620" s="657"/>
      <c r="I620" s="657"/>
      <c r="J620" s="657"/>
      <c r="K620" s="657"/>
      <c r="L620" s="657"/>
      <c r="M620" s="657"/>
    </row>
    <row r="621" spans="1:13">
      <c r="A621" s="746">
        <v>1.5</v>
      </c>
      <c r="B621" s="723">
        <v>1.5</v>
      </c>
      <c r="C621" s="723">
        <v>2.2799999999999998</v>
      </c>
      <c r="D621" s="723">
        <f>B621*C621</f>
        <v>3.42</v>
      </c>
      <c r="E621" s="723"/>
      <c r="F621" s="723"/>
      <c r="G621" s="748">
        <f>D621</f>
        <v>3.42</v>
      </c>
      <c r="H621" s="657"/>
      <c r="I621" s="657"/>
      <c r="J621" s="657"/>
      <c r="K621" s="657"/>
      <c r="L621" s="657"/>
      <c r="M621" s="657"/>
    </row>
    <row r="622" spans="1:13">
      <c r="A622" s="2312"/>
      <c r="B622" s="2283"/>
      <c r="C622" s="2283"/>
      <c r="D622" s="2283"/>
      <c r="E622" s="2283"/>
      <c r="F622" s="2283"/>
      <c r="G622" s="2284"/>
      <c r="H622" s="657"/>
      <c r="I622" s="657"/>
      <c r="J622" s="657"/>
      <c r="K622" s="657"/>
      <c r="L622" s="657"/>
      <c r="M622" s="657"/>
    </row>
    <row r="623" spans="1:13">
      <c r="A623" s="2201" t="s">
        <v>741</v>
      </c>
      <c r="B623" s="2202"/>
      <c r="C623" s="2202"/>
      <c r="D623" s="2202"/>
      <c r="E623" s="2202"/>
      <c r="F623" s="2202"/>
      <c r="G623" s="2203"/>
      <c r="H623" s="657"/>
      <c r="I623" s="657"/>
      <c r="J623" s="657"/>
      <c r="K623" s="657"/>
      <c r="L623" s="657"/>
      <c r="M623" s="657"/>
    </row>
    <row r="624" spans="1:13">
      <c r="A624" s="746">
        <v>1.5</v>
      </c>
      <c r="B624" s="723">
        <v>1.5</v>
      </c>
      <c r="C624" s="723">
        <v>4.32</v>
      </c>
      <c r="D624" s="723">
        <f>B624*C624</f>
        <v>6.48</v>
      </c>
      <c r="E624" s="723"/>
      <c r="F624" s="723"/>
      <c r="G624" s="748">
        <f>D624</f>
        <v>6.48</v>
      </c>
      <c r="H624" s="657"/>
      <c r="I624" s="657"/>
      <c r="J624" s="657"/>
      <c r="K624" s="657"/>
      <c r="L624" s="657"/>
      <c r="M624" s="657"/>
    </row>
    <row r="625" spans="1:13">
      <c r="A625" s="701" t="s">
        <v>801</v>
      </c>
      <c r="B625" s="723">
        <v>2.5</v>
      </c>
      <c r="C625" s="723">
        <v>2.2799999999999998</v>
      </c>
      <c r="D625" s="723">
        <f>C625*B625</f>
        <v>5.6999999999999993</v>
      </c>
      <c r="E625" s="723"/>
      <c r="F625" s="723"/>
      <c r="G625" s="748">
        <f>D625-F625</f>
        <v>5.6999999999999993</v>
      </c>
      <c r="H625" s="657"/>
      <c r="I625" s="657"/>
      <c r="J625" s="657"/>
      <c r="K625" s="657"/>
      <c r="L625" s="657"/>
      <c r="M625" s="657"/>
    </row>
    <row r="626" spans="1:13">
      <c r="A626" s="2312"/>
      <c r="B626" s="2283"/>
      <c r="C626" s="2283"/>
      <c r="D626" s="2283"/>
      <c r="E626" s="2283"/>
      <c r="F626" s="2283"/>
      <c r="G626" s="2284"/>
      <c r="H626" s="657"/>
      <c r="I626" s="657"/>
      <c r="J626" s="657"/>
      <c r="K626" s="657"/>
      <c r="L626" s="657"/>
      <c r="M626" s="657"/>
    </row>
    <row r="627" spans="1:13">
      <c r="A627" s="2201" t="s">
        <v>759</v>
      </c>
      <c r="B627" s="2202"/>
      <c r="C627" s="2202"/>
      <c r="D627" s="2202"/>
      <c r="E627" s="2202"/>
      <c r="F627" s="2202"/>
      <c r="G627" s="2203"/>
      <c r="H627" s="657"/>
      <c r="I627" s="657"/>
      <c r="J627" s="657"/>
      <c r="K627" s="657"/>
      <c r="L627" s="657"/>
      <c r="M627" s="657"/>
    </row>
    <row r="628" spans="1:13" ht="36">
      <c r="A628" s="701" t="s">
        <v>804</v>
      </c>
      <c r="B628" s="723">
        <f>3.65+4.8</f>
        <v>8.4499999999999993</v>
      </c>
      <c r="C628" s="723">
        <v>4.32</v>
      </c>
      <c r="D628" s="723">
        <f>B628*C628</f>
        <v>36.503999999999998</v>
      </c>
      <c r="E628" s="747" t="s">
        <v>805</v>
      </c>
      <c r="F628" s="723">
        <f>(2.2*1.1)+(2.3+1.1)</f>
        <v>5.82</v>
      </c>
      <c r="G628" s="748">
        <f>D628-F628</f>
        <v>30.683999999999997</v>
      </c>
      <c r="H628" s="657"/>
      <c r="I628" s="657"/>
      <c r="J628" s="657"/>
      <c r="K628" s="657"/>
      <c r="L628" s="657"/>
      <c r="M628" s="657"/>
    </row>
    <row r="629" spans="1:13" ht="24">
      <c r="A629" s="701" t="s">
        <v>806</v>
      </c>
      <c r="B629" s="752">
        <f>9.8+4.15</f>
        <v>13.950000000000001</v>
      </c>
      <c r="C629" s="723">
        <v>2.82</v>
      </c>
      <c r="D629" s="723">
        <f>B629*C629</f>
        <v>39.338999999999999</v>
      </c>
      <c r="E629" s="747" t="s">
        <v>807</v>
      </c>
      <c r="F629" s="723">
        <f>1.1*0.6*6</f>
        <v>3.96</v>
      </c>
      <c r="G629" s="748">
        <f>D629-F629</f>
        <v>35.378999999999998</v>
      </c>
      <c r="H629" s="657"/>
      <c r="I629" s="657"/>
      <c r="J629" s="657"/>
      <c r="K629" s="657"/>
      <c r="L629" s="657"/>
      <c r="M629" s="657"/>
    </row>
    <row r="630" spans="1:13">
      <c r="A630" s="746">
        <v>9.8000000000000007</v>
      </c>
      <c r="B630" s="805">
        <v>9.8000000000000007</v>
      </c>
      <c r="C630" s="723">
        <v>2.2799999999999998</v>
      </c>
      <c r="D630" s="723">
        <f>C630*B630</f>
        <v>22.344000000000001</v>
      </c>
      <c r="E630" s="723"/>
      <c r="F630" s="723"/>
      <c r="G630" s="748">
        <f>D630-F630</f>
        <v>22.344000000000001</v>
      </c>
      <c r="H630" s="657"/>
      <c r="I630" s="657"/>
      <c r="J630" s="657"/>
      <c r="K630" s="657"/>
      <c r="L630" s="657"/>
      <c r="M630" s="657"/>
    </row>
    <row r="631" spans="1:13">
      <c r="A631" s="2312"/>
      <c r="B631" s="2283"/>
      <c r="C631" s="2283"/>
      <c r="D631" s="2283"/>
      <c r="E631" s="2283"/>
      <c r="F631" s="2283"/>
      <c r="G631" s="2284"/>
      <c r="H631" s="657"/>
      <c r="I631" s="657"/>
      <c r="J631" s="657"/>
      <c r="K631" s="657"/>
      <c r="L631" s="657"/>
      <c r="M631" s="657"/>
    </row>
    <row r="632" spans="1:13">
      <c r="A632" s="2273" t="s">
        <v>772</v>
      </c>
      <c r="B632" s="2190"/>
      <c r="C632" s="2190"/>
      <c r="D632" s="2190"/>
      <c r="E632" s="2190"/>
      <c r="F632" s="2190"/>
      <c r="G632" s="2191"/>
      <c r="H632" s="657"/>
      <c r="I632" s="657"/>
      <c r="J632" s="657"/>
      <c r="K632" s="657"/>
      <c r="L632" s="657"/>
      <c r="M632" s="657"/>
    </row>
    <row r="633" spans="1:13">
      <c r="A633" s="2332"/>
      <c r="B633" s="2333"/>
      <c r="C633" s="2195" t="s">
        <v>731</v>
      </c>
      <c r="D633" s="2196"/>
      <c r="E633" s="2196"/>
      <c r="F633" s="2197"/>
      <c r="G633" s="748"/>
      <c r="H633" s="657"/>
      <c r="I633" s="657"/>
      <c r="J633" s="657"/>
      <c r="K633" s="657"/>
      <c r="L633" s="657"/>
      <c r="M633" s="657"/>
    </row>
    <row r="634" spans="1:13">
      <c r="A634" s="2309"/>
      <c r="B634" s="2334"/>
      <c r="C634" s="2198" t="s">
        <v>307</v>
      </c>
      <c r="D634" s="2199"/>
      <c r="E634" s="2199"/>
      <c r="F634" s="2200"/>
      <c r="G634" s="811">
        <f>ROUNDUP(G620+G621,2)</f>
        <v>7.65</v>
      </c>
      <c r="H634" s="657"/>
      <c r="I634" s="657"/>
      <c r="J634" s="657"/>
      <c r="K634" s="657"/>
      <c r="L634" s="657"/>
      <c r="M634" s="657"/>
    </row>
    <row r="635" spans="1:13">
      <c r="A635" s="2309"/>
      <c r="B635" s="2334"/>
      <c r="C635" s="2195" t="s">
        <v>741</v>
      </c>
      <c r="D635" s="2196"/>
      <c r="E635" s="2196"/>
      <c r="F635" s="2197"/>
      <c r="G635" s="812"/>
      <c r="H635" s="657"/>
      <c r="I635" s="657"/>
      <c r="J635" s="657"/>
      <c r="K635" s="657"/>
      <c r="L635" s="657"/>
      <c r="M635" s="657"/>
    </row>
    <row r="636" spans="1:13">
      <c r="A636" s="2309"/>
      <c r="B636" s="2334"/>
      <c r="C636" s="2198" t="s">
        <v>307</v>
      </c>
      <c r="D636" s="2199"/>
      <c r="E636" s="2199"/>
      <c r="F636" s="2200"/>
      <c r="G636" s="811">
        <f>ROUNDUP(G624+G625,2)</f>
        <v>12.18</v>
      </c>
      <c r="H636" s="657"/>
      <c r="I636" s="657"/>
      <c r="J636" s="657"/>
      <c r="K636" s="657"/>
      <c r="L636" s="657"/>
      <c r="M636" s="657"/>
    </row>
    <row r="637" spans="1:13">
      <c r="A637" s="2309"/>
      <c r="B637" s="2334"/>
      <c r="C637" s="2195" t="s">
        <v>759</v>
      </c>
      <c r="D637" s="2196"/>
      <c r="E637" s="2196"/>
      <c r="F637" s="2197"/>
      <c r="G637" s="812"/>
      <c r="H637" s="657"/>
      <c r="I637" s="657"/>
      <c r="J637" s="657"/>
      <c r="K637" s="657"/>
      <c r="L637" s="657"/>
      <c r="M637" s="657"/>
    </row>
    <row r="638" spans="1:13">
      <c r="A638" s="2335"/>
      <c r="B638" s="2336"/>
      <c r="C638" s="2198" t="s">
        <v>307</v>
      </c>
      <c r="D638" s="2199"/>
      <c r="E638" s="2199"/>
      <c r="F638" s="2200"/>
      <c r="G638" s="811">
        <f>ROUNDUP(G628+G629+G630,2)</f>
        <v>88.410000000000011</v>
      </c>
      <c r="H638" s="657"/>
      <c r="I638" s="657"/>
      <c r="J638" s="657"/>
      <c r="K638" s="657"/>
      <c r="L638" s="657"/>
      <c r="M638" s="657"/>
    </row>
    <row r="639" spans="1:13" ht="15.75" thickBot="1">
      <c r="A639" s="2318" t="s">
        <v>340</v>
      </c>
      <c r="B639" s="2319"/>
      <c r="C639" s="2319"/>
      <c r="D639" s="2319"/>
      <c r="E639" s="2319"/>
      <c r="F639" s="2320"/>
      <c r="G639" s="832">
        <f>ROUNDUP(G634+G636+G638,2)</f>
        <v>108.24</v>
      </c>
      <c r="H639" s="657"/>
      <c r="I639" s="657"/>
      <c r="J639" s="657"/>
      <c r="K639" s="657"/>
      <c r="L639" s="657"/>
      <c r="M639" s="657"/>
    </row>
    <row r="640" spans="1:13" ht="15.75" thickBot="1">
      <c r="A640" s="829"/>
      <c r="B640" s="830"/>
      <c r="C640" s="830"/>
      <c r="D640" s="830"/>
      <c r="E640" s="830"/>
      <c r="F640" s="830"/>
      <c r="G640" s="831"/>
      <c r="H640" s="657"/>
      <c r="I640" s="657"/>
      <c r="J640" s="657"/>
      <c r="K640" s="657"/>
      <c r="L640" s="657"/>
      <c r="M640" s="657"/>
    </row>
    <row r="641" spans="1:13" ht="15.75" thickBot="1">
      <c r="A641" s="671" t="s">
        <v>581</v>
      </c>
      <c r="B641" s="2180" t="s">
        <v>816</v>
      </c>
      <c r="C641" s="2181"/>
      <c r="D641" s="2181"/>
      <c r="E641" s="2181"/>
      <c r="F641" s="2181"/>
      <c r="G641" s="2182"/>
      <c r="H641" s="657"/>
      <c r="I641" s="657"/>
      <c r="J641" s="657"/>
      <c r="K641" s="657"/>
      <c r="L641" s="657"/>
      <c r="M641" s="657"/>
    </row>
    <row r="642" spans="1:13">
      <c r="A642" s="2248" t="s">
        <v>817</v>
      </c>
      <c r="B642" s="2249"/>
      <c r="C642" s="2249"/>
      <c r="D642" s="2249"/>
      <c r="E642" s="2249"/>
      <c r="F642" s="2249"/>
      <c r="G642" s="2250"/>
      <c r="H642" s="657"/>
      <c r="I642" s="657"/>
      <c r="J642" s="657"/>
      <c r="K642" s="657"/>
      <c r="L642" s="657"/>
      <c r="M642" s="657"/>
    </row>
    <row r="643" spans="1:13">
      <c r="A643" s="2241" t="s">
        <v>390</v>
      </c>
      <c r="B643" s="2228"/>
      <c r="C643" s="2228"/>
      <c r="D643" s="2228"/>
      <c r="E643" s="2228"/>
      <c r="F643" s="2228"/>
      <c r="G643" s="2229"/>
      <c r="H643" s="657"/>
      <c r="I643" s="657"/>
      <c r="J643" s="657"/>
      <c r="K643" s="657"/>
      <c r="L643" s="657"/>
      <c r="M643" s="657"/>
    </row>
    <row r="644" spans="1:13">
      <c r="A644" s="2273" t="s">
        <v>391</v>
      </c>
      <c r="B644" s="2242"/>
      <c r="C644" s="687" t="s">
        <v>322</v>
      </c>
      <c r="D644" s="687" t="s">
        <v>305</v>
      </c>
      <c r="E644" s="2189" t="s">
        <v>306</v>
      </c>
      <c r="F644" s="2190"/>
      <c r="G644" s="2191"/>
      <c r="H644" s="657"/>
      <c r="I644" s="657"/>
      <c r="J644" s="657"/>
      <c r="K644" s="657"/>
      <c r="L644" s="657"/>
      <c r="M644" s="657"/>
    </row>
    <row r="645" spans="1:13">
      <c r="A645" s="2346" t="s">
        <v>818</v>
      </c>
      <c r="B645" s="2163"/>
      <c r="C645" s="784">
        <v>24.3</v>
      </c>
      <c r="D645" s="785">
        <v>39.81</v>
      </c>
      <c r="E645" s="2164" t="s">
        <v>819</v>
      </c>
      <c r="F645" s="2165"/>
      <c r="G645" s="2166"/>
      <c r="H645" s="657"/>
      <c r="I645" s="657"/>
      <c r="J645" s="657"/>
      <c r="K645" s="657"/>
      <c r="L645" s="657"/>
      <c r="M645" s="657"/>
    </row>
    <row r="646" spans="1:13">
      <c r="A646" s="2346" t="s">
        <v>820</v>
      </c>
      <c r="B646" s="2163"/>
      <c r="C646" s="784">
        <v>35.700000000000003</v>
      </c>
      <c r="D646" s="785">
        <v>39.81</v>
      </c>
      <c r="E646" s="2167"/>
      <c r="F646" s="2168"/>
      <c r="G646" s="2169"/>
      <c r="H646" s="657"/>
      <c r="I646" s="657"/>
      <c r="J646" s="657"/>
      <c r="K646" s="657"/>
      <c r="L646" s="657"/>
      <c r="M646" s="657"/>
    </row>
    <row r="647" spans="1:13">
      <c r="A647" s="2346" t="s">
        <v>821</v>
      </c>
      <c r="B647" s="2163"/>
      <c r="C647" s="784">
        <v>13</v>
      </c>
      <c r="D647" s="785">
        <v>39.81</v>
      </c>
      <c r="E647" s="2167"/>
      <c r="F647" s="2168"/>
      <c r="G647" s="2169"/>
      <c r="H647" s="657"/>
      <c r="I647" s="657"/>
      <c r="J647" s="657"/>
      <c r="K647" s="657"/>
      <c r="L647" s="657"/>
      <c r="M647" s="657"/>
    </row>
    <row r="648" spans="1:13">
      <c r="A648" s="2346" t="s">
        <v>822</v>
      </c>
      <c r="B648" s="2163"/>
      <c r="C648" s="784">
        <v>16</v>
      </c>
      <c r="D648" s="785">
        <v>39.81</v>
      </c>
      <c r="E648" s="2167"/>
      <c r="F648" s="2168"/>
      <c r="G648" s="2169"/>
      <c r="H648" s="657"/>
      <c r="I648" s="657"/>
      <c r="J648" s="657"/>
      <c r="K648" s="657"/>
      <c r="L648" s="657"/>
      <c r="M648" s="657"/>
    </row>
    <row r="649" spans="1:13">
      <c r="A649" s="2346" t="s">
        <v>823</v>
      </c>
      <c r="B649" s="2163"/>
      <c r="C649" s="784">
        <v>20</v>
      </c>
      <c r="D649" s="785">
        <v>39.81</v>
      </c>
      <c r="E649" s="2167"/>
      <c r="F649" s="2168"/>
      <c r="G649" s="2169"/>
      <c r="H649" s="657"/>
      <c r="I649" s="657"/>
      <c r="J649" s="657"/>
      <c r="K649" s="657"/>
      <c r="L649" s="657"/>
      <c r="M649" s="657"/>
    </row>
    <row r="650" spans="1:13">
      <c r="A650" s="2346" t="s">
        <v>386</v>
      </c>
      <c r="B650" s="2163"/>
      <c r="C650" s="784">
        <v>18</v>
      </c>
      <c r="D650" s="785">
        <v>39.81</v>
      </c>
      <c r="E650" s="2167"/>
      <c r="F650" s="2168"/>
      <c r="G650" s="2169"/>
      <c r="H650" s="657"/>
      <c r="I650" s="657"/>
      <c r="J650" s="657"/>
      <c r="K650" s="657"/>
      <c r="L650" s="657"/>
      <c r="M650" s="657"/>
    </row>
    <row r="651" spans="1:13">
      <c r="A651" s="2346" t="s">
        <v>824</v>
      </c>
      <c r="B651" s="2163"/>
      <c r="C651" s="784">
        <v>11.7</v>
      </c>
      <c r="D651" s="785">
        <v>39.81</v>
      </c>
      <c r="E651" s="2167"/>
      <c r="F651" s="2168"/>
      <c r="G651" s="2169"/>
      <c r="H651" s="657"/>
      <c r="I651" s="657"/>
      <c r="J651" s="657"/>
      <c r="K651" s="657"/>
      <c r="L651" s="657"/>
      <c r="M651" s="657"/>
    </row>
    <row r="652" spans="1:13">
      <c r="A652" s="2346" t="s">
        <v>825</v>
      </c>
      <c r="B652" s="2163"/>
      <c r="C652" s="784">
        <v>7.4</v>
      </c>
      <c r="D652" s="785">
        <v>39.81</v>
      </c>
      <c r="E652" s="2167"/>
      <c r="F652" s="2168"/>
      <c r="G652" s="2169"/>
      <c r="H652" s="657"/>
      <c r="I652" s="657"/>
      <c r="J652" s="657"/>
      <c r="K652" s="657"/>
      <c r="L652" s="657"/>
      <c r="M652" s="657"/>
    </row>
    <row r="653" spans="1:13">
      <c r="A653" s="2346" t="s">
        <v>826</v>
      </c>
      <c r="B653" s="2163"/>
      <c r="C653" s="784">
        <v>13.39</v>
      </c>
      <c r="D653" s="785">
        <v>39.81</v>
      </c>
      <c r="E653" s="2167"/>
      <c r="F653" s="2168"/>
      <c r="G653" s="2169"/>
      <c r="H653" s="657"/>
      <c r="I653" s="657"/>
      <c r="J653" s="657"/>
      <c r="K653" s="657"/>
      <c r="L653" s="657"/>
      <c r="M653" s="657"/>
    </row>
    <row r="654" spans="1:13">
      <c r="A654" s="2346" t="s">
        <v>827</v>
      </c>
      <c r="B654" s="2163"/>
      <c r="C654" s="784">
        <v>3.05</v>
      </c>
      <c r="D654" s="785">
        <v>39.81</v>
      </c>
      <c r="E654" s="2167"/>
      <c r="F654" s="2168"/>
      <c r="G654" s="2169"/>
      <c r="H654" s="657"/>
      <c r="I654" s="657"/>
      <c r="J654" s="657"/>
      <c r="K654" s="657"/>
      <c r="L654" s="657"/>
      <c r="M654" s="657"/>
    </row>
    <row r="655" spans="1:13">
      <c r="A655" s="2346" t="s">
        <v>828</v>
      </c>
      <c r="B655" s="2163"/>
      <c r="C655" s="784">
        <v>3.05</v>
      </c>
      <c r="D655" s="785">
        <v>39.81</v>
      </c>
      <c r="E655" s="2167"/>
      <c r="F655" s="2168"/>
      <c r="G655" s="2169"/>
      <c r="H655" s="657"/>
      <c r="I655" s="657"/>
      <c r="J655" s="657"/>
      <c r="K655" s="657"/>
      <c r="L655" s="657"/>
      <c r="M655" s="657"/>
    </row>
    <row r="656" spans="1:13">
      <c r="A656" s="2346" t="s">
        <v>829</v>
      </c>
      <c r="B656" s="2163"/>
      <c r="C656" s="784">
        <v>13.39</v>
      </c>
      <c r="D656" s="785">
        <v>39.81</v>
      </c>
      <c r="E656" s="2167"/>
      <c r="F656" s="2168"/>
      <c r="G656" s="2169"/>
      <c r="H656" s="657"/>
      <c r="I656" s="657"/>
      <c r="J656" s="657"/>
      <c r="K656" s="657"/>
      <c r="L656" s="657"/>
      <c r="M656" s="657"/>
    </row>
    <row r="657" spans="1:13" ht="15.75" thickBot="1">
      <c r="A657" s="786"/>
      <c r="B657" s="787"/>
      <c r="C657" s="788" t="s">
        <v>307</v>
      </c>
      <c r="D657" s="789">
        <f>SUM(D645:D656)</f>
        <v>477.72</v>
      </c>
      <c r="E657" s="2347"/>
      <c r="F657" s="2348"/>
      <c r="G657" s="2349"/>
      <c r="H657" s="657"/>
      <c r="I657" s="657"/>
      <c r="J657" s="657"/>
      <c r="K657" s="657"/>
      <c r="L657" s="657"/>
      <c r="M657" s="657"/>
    </row>
    <row r="658" spans="1:13" ht="15.75" thickBot="1">
      <c r="A658" s="837"/>
      <c r="B658" s="838"/>
      <c r="C658" s="838"/>
      <c r="D658" s="838"/>
      <c r="E658" s="766"/>
      <c r="F658" s="766"/>
      <c r="G658" s="839"/>
      <c r="H658" s="657"/>
      <c r="I658" s="657"/>
      <c r="J658" s="657"/>
      <c r="K658" s="657"/>
      <c r="L658" s="657"/>
      <c r="M658" s="657"/>
    </row>
    <row r="659" spans="1:13" ht="15.75" thickBot="1">
      <c r="A659" s="671" t="s">
        <v>582</v>
      </c>
      <c r="B659" s="2180" t="s">
        <v>2061</v>
      </c>
      <c r="C659" s="2181"/>
      <c r="D659" s="2181"/>
      <c r="E659" s="2181"/>
      <c r="F659" s="2181"/>
      <c r="G659" s="2182"/>
      <c r="H659" s="657"/>
      <c r="I659" s="840"/>
      <c r="J659" s="657"/>
      <c r="K659" s="657"/>
      <c r="L659" s="657"/>
      <c r="M659" s="657"/>
    </row>
    <row r="660" spans="1:13">
      <c r="A660" s="2248" t="s">
        <v>817</v>
      </c>
      <c r="B660" s="2249"/>
      <c r="C660" s="2249"/>
      <c r="D660" s="2249"/>
      <c r="E660" s="2249"/>
      <c r="F660" s="2249"/>
      <c r="G660" s="2250"/>
      <c r="H660" s="657"/>
      <c r="I660" s="657"/>
      <c r="J660" s="657"/>
      <c r="K660" s="657"/>
      <c r="L660" s="657"/>
      <c r="M660" s="657"/>
    </row>
    <row r="661" spans="1:13">
      <c r="A661" s="2241" t="s">
        <v>390</v>
      </c>
      <c r="B661" s="2228"/>
      <c r="C661" s="2228"/>
      <c r="D661" s="2228"/>
      <c r="E661" s="2228"/>
      <c r="F661" s="2228"/>
      <c r="G661" s="2229"/>
      <c r="H661" s="657"/>
      <c r="I661" s="657"/>
      <c r="J661" s="657"/>
      <c r="K661" s="657"/>
      <c r="L661" s="657"/>
      <c r="M661" s="657"/>
    </row>
    <row r="662" spans="1:13">
      <c r="A662" s="2273" t="s">
        <v>391</v>
      </c>
      <c r="B662" s="2242"/>
      <c r="C662" s="687" t="s">
        <v>322</v>
      </c>
      <c r="D662" s="687" t="s">
        <v>305</v>
      </c>
      <c r="E662" s="2189" t="s">
        <v>306</v>
      </c>
      <c r="F662" s="2190"/>
      <c r="G662" s="2191"/>
      <c r="H662" s="657"/>
      <c r="I662" s="657"/>
      <c r="J662" s="657"/>
      <c r="K662" s="657"/>
      <c r="L662" s="657"/>
      <c r="M662" s="657"/>
    </row>
    <row r="663" spans="1:13">
      <c r="A663" s="2346" t="s">
        <v>818</v>
      </c>
      <c r="B663" s="2163"/>
      <c r="C663" s="784">
        <v>24.3</v>
      </c>
      <c r="D663" s="785">
        <v>39.81</v>
      </c>
      <c r="E663" s="2164" t="s">
        <v>819</v>
      </c>
      <c r="F663" s="2165"/>
      <c r="G663" s="2166"/>
      <c r="H663" s="657"/>
      <c r="I663" s="657"/>
      <c r="J663" s="657"/>
      <c r="K663" s="657"/>
      <c r="L663" s="657"/>
      <c r="M663" s="657"/>
    </row>
    <row r="664" spans="1:13">
      <c r="A664" s="2346" t="s">
        <v>820</v>
      </c>
      <c r="B664" s="2163"/>
      <c r="C664" s="784">
        <v>35.700000000000003</v>
      </c>
      <c r="D664" s="785">
        <v>39.81</v>
      </c>
      <c r="E664" s="2167"/>
      <c r="F664" s="2168"/>
      <c r="G664" s="2169"/>
      <c r="H664" s="657"/>
      <c r="I664" s="657"/>
      <c r="J664" s="657"/>
      <c r="K664" s="657"/>
      <c r="L664" s="657"/>
      <c r="M664" s="657"/>
    </row>
    <row r="665" spans="1:13">
      <c r="A665" s="2346" t="s">
        <v>821</v>
      </c>
      <c r="B665" s="2163"/>
      <c r="C665" s="784">
        <v>13</v>
      </c>
      <c r="D665" s="785">
        <v>39.81</v>
      </c>
      <c r="E665" s="2167"/>
      <c r="F665" s="2168"/>
      <c r="G665" s="2169"/>
      <c r="H665" s="657"/>
      <c r="I665" s="657"/>
      <c r="J665" s="657"/>
      <c r="K665" s="657"/>
      <c r="L665" s="657"/>
      <c r="M665" s="657"/>
    </row>
    <row r="666" spans="1:13">
      <c r="A666" s="2346" t="s">
        <v>822</v>
      </c>
      <c r="B666" s="2163"/>
      <c r="C666" s="784">
        <v>16</v>
      </c>
      <c r="D666" s="785">
        <v>39.81</v>
      </c>
      <c r="E666" s="2167"/>
      <c r="F666" s="2168"/>
      <c r="G666" s="2169"/>
      <c r="H666" s="657"/>
      <c r="I666" s="657"/>
      <c r="J666" s="657"/>
      <c r="K666" s="657"/>
      <c r="L666" s="657"/>
      <c r="M666" s="657"/>
    </row>
    <row r="667" spans="1:13">
      <c r="A667" s="2346" t="s">
        <v>823</v>
      </c>
      <c r="B667" s="2163"/>
      <c r="C667" s="784">
        <v>20</v>
      </c>
      <c r="D667" s="785">
        <v>39.81</v>
      </c>
      <c r="E667" s="2167"/>
      <c r="F667" s="2168"/>
      <c r="G667" s="2169"/>
      <c r="H667" s="657"/>
      <c r="I667" s="657"/>
      <c r="J667" s="657"/>
      <c r="K667" s="657"/>
      <c r="L667" s="657"/>
      <c r="M667" s="657"/>
    </row>
    <row r="668" spans="1:13">
      <c r="A668" s="2346" t="s">
        <v>386</v>
      </c>
      <c r="B668" s="2163"/>
      <c r="C668" s="784">
        <v>18</v>
      </c>
      <c r="D668" s="785">
        <v>39.81</v>
      </c>
      <c r="E668" s="2167"/>
      <c r="F668" s="2168"/>
      <c r="G668" s="2169"/>
      <c r="H668" s="657"/>
      <c r="I668" s="657"/>
      <c r="J668" s="657"/>
      <c r="K668" s="657"/>
      <c r="L668" s="657"/>
      <c r="M668" s="657"/>
    </row>
    <row r="669" spans="1:13">
      <c r="A669" s="2346" t="s">
        <v>824</v>
      </c>
      <c r="B669" s="2163"/>
      <c r="C669" s="784">
        <v>11.7</v>
      </c>
      <c r="D669" s="785">
        <v>39.81</v>
      </c>
      <c r="E669" s="2167"/>
      <c r="F669" s="2168"/>
      <c r="G669" s="2169"/>
      <c r="H669" s="657"/>
      <c r="I669" s="657"/>
      <c r="J669" s="657"/>
      <c r="K669" s="657"/>
      <c r="L669" s="657"/>
      <c r="M669" s="657"/>
    </row>
    <row r="670" spans="1:13">
      <c r="A670" s="2346" t="s">
        <v>825</v>
      </c>
      <c r="B670" s="2163"/>
      <c r="C670" s="784">
        <v>7.4</v>
      </c>
      <c r="D670" s="785">
        <v>39.81</v>
      </c>
      <c r="E670" s="2167"/>
      <c r="F670" s="2168"/>
      <c r="G670" s="2169"/>
      <c r="H670" s="657"/>
      <c r="I670" s="657"/>
      <c r="J670" s="657"/>
      <c r="K670" s="657"/>
      <c r="L670" s="657"/>
      <c r="M670" s="657"/>
    </row>
    <row r="671" spans="1:13">
      <c r="A671" s="2346" t="s">
        <v>826</v>
      </c>
      <c r="B671" s="2163"/>
      <c r="C671" s="784">
        <v>13.39</v>
      </c>
      <c r="D671" s="785">
        <v>39.81</v>
      </c>
      <c r="E671" s="2167"/>
      <c r="F671" s="2168"/>
      <c r="G671" s="2169"/>
      <c r="H671" s="657"/>
      <c r="I671" s="657"/>
      <c r="J671" s="657"/>
      <c r="K671" s="657"/>
      <c r="L671" s="657"/>
      <c r="M671" s="657"/>
    </row>
    <row r="672" spans="1:13">
      <c r="A672" s="2346" t="s">
        <v>827</v>
      </c>
      <c r="B672" s="2163"/>
      <c r="C672" s="784">
        <v>3.05</v>
      </c>
      <c r="D672" s="785">
        <v>39.81</v>
      </c>
      <c r="E672" s="2167"/>
      <c r="F672" s="2168"/>
      <c r="G672" s="2169"/>
      <c r="H672" s="657"/>
      <c r="I672" s="657"/>
      <c r="J672" s="657"/>
      <c r="K672" s="657"/>
      <c r="L672" s="657"/>
      <c r="M672" s="657"/>
    </row>
    <row r="673" spans="1:13">
      <c r="A673" s="2346" t="s">
        <v>828</v>
      </c>
      <c r="B673" s="2163"/>
      <c r="C673" s="784">
        <v>3.05</v>
      </c>
      <c r="D673" s="785">
        <v>39.81</v>
      </c>
      <c r="E673" s="2167"/>
      <c r="F673" s="2168"/>
      <c r="G673" s="2169"/>
      <c r="H673" s="657"/>
      <c r="I673" s="657"/>
      <c r="J673" s="657"/>
      <c r="K673" s="657"/>
      <c r="L673" s="657"/>
      <c r="M673" s="657"/>
    </row>
    <row r="674" spans="1:13">
      <c r="A674" s="2346" t="s">
        <v>829</v>
      </c>
      <c r="B674" s="2163"/>
      <c r="C674" s="784">
        <v>13.39</v>
      </c>
      <c r="D674" s="785">
        <v>39.81</v>
      </c>
      <c r="E674" s="2167"/>
      <c r="F674" s="2168"/>
      <c r="G674" s="2169"/>
      <c r="H674" s="657"/>
      <c r="I674" s="657"/>
      <c r="J674" s="657"/>
      <c r="K674" s="657"/>
      <c r="L674" s="657"/>
      <c r="M674" s="657"/>
    </row>
    <row r="675" spans="1:13" ht="15.75" thickBot="1">
      <c r="A675" s="786"/>
      <c r="B675" s="787"/>
      <c r="C675" s="788" t="s">
        <v>307</v>
      </c>
      <c r="D675" s="789">
        <f>SUM(D663:D674)</f>
        <v>477.72</v>
      </c>
      <c r="E675" s="2347"/>
      <c r="F675" s="2348"/>
      <c r="G675" s="2349"/>
      <c r="H675" s="657"/>
      <c r="I675" s="657"/>
      <c r="J675" s="657"/>
      <c r="K675" s="657"/>
      <c r="L675" s="657"/>
      <c r="M675" s="657"/>
    </row>
    <row r="676" spans="1:13" ht="15.75" thickBot="1">
      <c r="A676" s="841"/>
      <c r="B676" s="842"/>
      <c r="C676" s="842"/>
      <c r="D676" s="842"/>
      <c r="E676" s="842"/>
      <c r="F676" s="842"/>
      <c r="G676" s="843"/>
      <c r="H676" s="657"/>
      <c r="I676" s="657"/>
      <c r="J676" s="657"/>
      <c r="K676" s="657"/>
      <c r="L676" s="657"/>
      <c r="M676" s="657"/>
    </row>
    <row r="677" spans="1:13" ht="15.75" thickBot="1">
      <c r="A677" s="671">
        <v>10</v>
      </c>
      <c r="B677" s="2180" t="s">
        <v>388</v>
      </c>
      <c r="C677" s="2181"/>
      <c r="D677" s="2181"/>
      <c r="E677" s="2181"/>
      <c r="F677" s="2181"/>
      <c r="G677" s="2182"/>
      <c r="H677" s="657"/>
      <c r="I677" s="657"/>
      <c r="J677" s="657"/>
      <c r="K677" s="657"/>
      <c r="L677" s="657"/>
      <c r="M677" s="657"/>
    </row>
    <row r="678" spans="1:13" ht="15.75" thickBot="1">
      <c r="A678" s="671" t="s">
        <v>76</v>
      </c>
      <c r="B678" s="2180" t="s">
        <v>830</v>
      </c>
      <c r="C678" s="2181"/>
      <c r="D678" s="2181"/>
      <c r="E678" s="2181"/>
      <c r="F678" s="2181"/>
      <c r="G678" s="2182"/>
      <c r="H678" s="657"/>
      <c r="I678" s="657"/>
      <c r="J678" s="657"/>
      <c r="K678" s="657"/>
      <c r="L678" s="657"/>
      <c r="M678" s="657"/>
    </row>
    <row r="679" spans="1:13">
      <c r="A679" s="2213" t="s">
        <v>389</v>
      </c>
      <c r="B679" s="2214"/>
      <c r="C679" s="2214"/>
      <c r="D679" s="2214"/>
      <c r="E679" s="2214"/>
      <c r="F679" s="2214"/>
      <c r="G679" s="2215"/>
      <c r="H679" s="657"/>
      <c r="I679" s="657"/>
      <c r="J679" s="657"/>
      <c r="K679" s="657"/>
      <c r="L679" s="657"/>
      <c r="M679" s="657"/>
    </row>
    <row r="680" spans="1:13">
      <c r="A680" s="2241" t="s">
        <v>390</v>
      </c>
      <c r="B680" s="2228"/>
      <c r="C680" s="2228"/>
      <c r="D680" s="2228"/>
      <c r="E680" s="2228"/>
      <c r="F680" s="2228"/>
      <c r="G680" s="2229"/>
      <c r="H680" s="657"/>
      <c r="I680" s="657"/>
      <c r="J680" s="657"/>
      <c r="K680" s="657"/>
      <c r="L680" s="657"/>
      <c r="M680" s="657"/>
    </row>
    <row r="681" spans="1:13" ht="24">
      <c r="A681" s="2273" t="s">
        <v>391</v>
      </c>
      <c r="B681" s="2242"/>
      <c r="C681" s="687" t="s">
        <v>305</v>
      </c>
      <c r="D681" s="687" t="s">
        <v>831</v>
      </c>
      <c r="E681" s="2189" t="s">
        <v>306</v>
      </c>
      <c r="F681" s="2190"/>
      <c r="G681" s="2191"/>
      <c r="H681" s="657"/>
      <c r="I681" s="657"/>
      <c r="J681" s="657"/>
      <c r="K681" s="657"/>
      <c r="L681" s="657"/>
      <c r="M681" s="657"/>
    </row>
    <row r="682" spans="1:13" ht="27" customHeight="1">
      <c r="A682" s="2346" t="s">
        <v>832</v>
      </c>
      <c r="B682" s="2163"/>
      <c r="C682" s="747" t="s">
        <v>833</v>
      </c>
      <c r="D682" s="723">
        <f>3.18+2.78+2.78</f>
        <v>8.74</v>
      </c>
      <c r="E682" s="2162" t="s">
        <v>398</v>
      </c>
      <c r="F682" s="2350"/>
      <c r="G682" s="2351"/>
      <c r="H682" s="657"/>
      <c r="I682" s="657"/>
      <c r="J682" s="657"/>
      <c r="K682" s="657"/>
      <c r="L682" s="657"/>
      <c r="M682" s="657"/>
    </row>
    <row r="683" spans="1:13">
      <c r="A683" s="2346" t="s">
        <v>834</v>
      </c>
      <c r="B683" s="2163"/>
      <c r="C683" s="747" t="s">
        <v>835</v>
      </c>
      <c r="D683" s="723">
        <f>7.7+7.68+7.68</f>
        <v>23.06</v>
      </c>
      <c r="E683" s="2162" t="s">
        <v>399</v>
      </c>
      <c r="F683" s="2350"/>
      <c r="G683" s="2351"/>
      <c r="H683" s="657"/>
      <c r="I683" s="657"/>
      <c r="J683" s="657"/>
      <c r="K683" s="657"/>
      <c r="L683" s="657"/>
      <c r="M683" s="657"/>
    </row>
    <row r="684" spans="1:13" ht="48">
      <c r="A684" s="2346" t="s">
        <v>836</v>
      </c>
      <c r="B684" s="2163"/>
      <c r="C684" s="747" t="s">
        <v>837</v>
      </c>
      <c r="D684" s="723">
        <f>34.87+72.37+10.55+16+19.64+20+30.21+10.61</f>
        <v>214.25</v>
      </c>
      <c r="E684" s="2162" t="s">
        <v>400</v>
      </c>
      <c r="F684" s="2350"/>
      <c r="G684" s="2351"/>
      <c r="H684" s="657"/>
      <c r="I684" s="657">
        <f>8.74+23.06+214.25</f>
        <v>246.05</v>
      </c>
      <c r="J684" s="657"/>
      <c r="K684" s="657"/>
      <c r="L684" s="657"/>
      <c r="M684" s="657"/>
    </row>
    <row r="685" spans="1:13" ht="31.5" customHeight="1">
      <c r="A685" s="2346" t="s">
        <v>838</v>
      </c>
      <c r="B685" s="2163"/>
      <c r="C685" s="808" t="s">
        <v>839</v>
      </c>
      <c r="D685" s="784">
        <f>66.73+13.7+31.95+4.46+68.14+108.42</f>
        <v>293.40000000000003</v>
      </c>
      <c r="E685" s="2162" t="s">
        <v>840</v>
      </c>
      <c r="F685" s="2350"/>
      <c r="G685" s="2351"/>
      <c r="H685" s="657"/>
      <c r="I685" s="657"/>
      <c r="J685" s="657"/>
      <c r="K685" s="657"/>
      <c r="L685" s="657"/>
      <c r="M685" s="657"/>
    </row>
    <row r="686" spans="1:13">
      <c r="A686" s="2312"/>
      <c r="B686" s="2352"/>
      <c r="C686" s="784"/>
      <c r="D686" s="784"/>
      <c r="E686" s="2282"/>
      <c r="F686" s="2283"/>
      <c r="G686" s="2284"/>
      <c r="H686" s="657"/>
      <c r="I686" s="657"/>
      <c r="J686" s="657"/>
      <c r="K686" s="657"/>
      <c r="L686" s="657"/>
      <c r="M686" s="657"/>
    </row>
    <row r="687" spans="1:13" ht="15.75" thickBot="1">
      <c r="A687" s="2308" t="s">
        <v>387</v>
      </c>
      <c r="B687" s="2271"/>
      <c r="C687" s="2272"/>
      <c r="D687" s="844">
        <f>SUM(D682:D686)</f>
        <v>539.45000000000005</v>
      </c>
      <c r="E687" s="2353"/>
      <c r="F687" s="2296"/>
      <c r="G687" s="2354"/>
      <c r="H687" s="657"/>
      <c r="I687" s="657"/>
      <c r="J687" s="657"/>
      <c r="K687" s="657"/>
      <c r="L687" s="657"/>
      <c r="M687" s="657"/>
    </row>
    <row r="688" spans="1:13" ht="15.75" thickBot="1">
      <c r="A688" s="790"/>
      <c r="B688" s="778"/>
      <c r="C688" s="778"/>
      <c r="D688" s="734"/>
      <c r="E688" s="777"/>
      <c r="F688" s="777"/>
      <c r="G688" s="845"/>
      <c r="H688" s="657"/>
      <c r="I688" s="657"/>
      <c r="J688" s="657"/>
      <c r="K688" s="657"/>
      <c r="L688" s="657"/>
      <c r="M688" s="657"/>
    </row>
    <row r="689" spans="1:13" ht="15.75" thickBot="1">
      <c r="A689" s="671" t="s">
        <v>77</v>
      </c>
      <c r="B689" s="2180" t="s">
        <v>392</v>
      </c>
      <c r="C689" s="2181"/>
      <c r="D689" s="2181"/>
      <c r="E689" s="2181"/>
      <c r="F689" s="2181"/>
      <c r="G689" s="2182"/>
      <c r="H689" s="657"/>
      <c r="I689" s="657"/>
      <c r="J689" s="657"/>
      <c r="K689" s="657"/>
      <c r="L689" s="657"/>
      <c r="M689" s="657"/>
    </row>
    <row r="690" spans="1:13">
      <c r="A690" s="2213" t="s">
        <v>389</v>
      </c>
      <c r="B690" s="2214"/>
      <c r="C690" s="2214"/>
      <c r="D690" s="2214"/>
      <c r="E690" s="2214"/>
      <c r="F690" s="2214"/>
      <c r="G690" s="2215"/>
      <c r="H690" s="657"/>
      <c r="I690" s="657"/>
      <c r="J690" s="657"/>
      <c r="K690" s="657"/>
      <c r="L690" s="657"/>
      <c r="M690" s="657"/>
    </row>
    <row r="691" spans="1:13">
      <c r="A691" s="2241" t="s">
        <v>390</v>
      </c>
      <c r="B691" s="2228"/>
      <c r="C691" s="2228"/>
      <c r="D691" s="2228"/>
      <c r="E691" s="2228"/>
      <c r="F691" s="2228"/>
      <c r="G691" s="2229"/>
      <c r="H691" s="657"/>
      <c r="I691" s="657"/>
      <c r="J691" s="657"/>
      <c r="K691" s="657"/>
      <c r="L691" s="657"/>
      <c r="M691" s="657"/>
    </row>
    <row r="692" spans="1:13" ht="24">
      <c r="A692" s="2273" t="s">
        <v>391</v>
      </c>
      <c r="B692" s="2242"/>
      <c r="C692" s="687" t="s">
        <v>305</v>
      </c>
      <c r="D692" s="687" t="s">
        <v>831</v>
      </c>
      <c r="E692" s="2189" t="s">
        <v>306</v>
      </c>
      <c r="F692" s="2190"/>
      <c r="G692" s="2191"/>
      <c r="H692" s="657"/>
      <c r="I692" s="657"/>
      <c r="J692" s="657"/>
      <c r="K692" s="657"/>
      <c r="L692" s="657"/>
      <c r="M692" s="657"/>
    </row>
    <row r="693" spans="1:13" ht="27.75" customHeight="1">
      <c r="A693" s="2346" t="s">
        <v>832</v>
      </c>
      <c r="B693" s="2163"/>
      <c r="C693" s="747" t="s">
        <v>833</v>
      </c>
      <c r="D693" s="723">
        <f>3.18+2.78+2.78</f>
        <v>8.74</v>
      </c>
      <c r="E693" s="2162" t="s">
        <v>398</v>
      </c>
      <c r="F693" s="2350"/>
      <c r="G693" s="2351"/>
      <c r="H693" s="657"/>
      <c r="I693" s="657"/>
      <c r="J693" s="657"/>
      <c r="K693" s="657"/>
      <c r="L693" s="657"/>
      <c r="M693" s="657"/>
    </row>
    <row r="694" spans="1:13">
      <c r="A694" s="2346" t="s">
        <v>834</v>
      </c>
      <c r="B694" s="2163"/>
      <c r="C694" s="747" t="s">
        <v>835</v>
      </c>
      <c r="D694" s="723">
        <f>7.7+7.68+7.68</f>
        <v>23.06</v>
      </c>
      <c r="E694" s="2162" t="s">
        <v>399</v>
      </c>
      <c r="F694" s="2350"/>
      <c r="G694" s="2351"/>
      <c r="H694" s="657"/>
      <c r="I694" s="657"/>
      <c r="J694" s="657"/>
      <c r="K694" s="657"/>
      <c r="L694" s="657"/>
      <c r="M694" s="657"/>
    </row>
    <row r="695" spans="1:13" ht="48">
      <c r="A695" s="2346" t="s">
        <v>836</v>
      </c>
      <c r="B695" s="2163"/>
      <c r="C695" s="747" t="s">
        <v>837</v>
      </c>
      <c r="D695" s="723">
        <f>34.87+72.37+10.55+16+19.64+20+30.21+10.61</f>
        <v>214.25</v>
      </c>
      <c r="E695" s="2162" t="s">
        <v>400</v>
      </c>
      <c r="F695" s="2350"/>
      <c r="G695" s="2351"/>
      <c r="H695" s="657"/>
      <c r="I695" s="657">
        <f>8.74+23.06+214.25</f>
        <v>246.05</v>
      </c>
      <c r="J695" s="657"/>
      <c r="K695" s="657"/>
      <c r="L695" s="657"/>
      <c r="M695" s="657"/>
    </row>
    <row r="696" spans="1:13" ht="24">
      <c r="A696" s="2346" t="s">
        <v>841</v>
      </c>
      <c r="B696" s="2163"/>
      <c r="C696" s="808" t="s">
        <v>842</v>
      </c>
      <c r="D696" s="784">
        <f>66.73+13.7+31.95+4.46</f>
        <v>116.84</v>
      </c>
      <c r="E696" s="2162" t="s">
        <v>840</v>
      </c>
      <c r="F696" s="2350"/>
      <c r="G696" s="2351"/>
      <c r="H696" s="657"/>
      <c r="I696" s="657"/>
      <c r="J696" s="657"/>
      <c r="K696" s="657"/>
      <c r="L696" s="657"/>
      <c r="M696" s="657"/>
    </row>
    <row r="697" spans="1:13" ht="15.75" thickBot="1">
      <c r="A697" s="2308" t="s">
        <v>387</v>
      </c>
      <c r="B697" s="2271"/>
      <c r="C697" s="2272"/>
      <c r="D697" s="844">
        <f>SUM(D693:D696)</f>
        <v>362.89</v>
      </c>
      <c r="E697" s="2353"/>
      <c r="F697" s="2296"/>
      <c r="G697" s="2354"/>
      <c r="H697" s="657"/>
      <c r="I697" s="657"/>
      <c r="J697" s="657"/>
      <c r="K697" s="657"/>
      <c r="L697" s="657"/>
      <c r="M697" s="657"/>
    </row>
    <row r="698" spans="1:13" ht="15.75" thickBot="1">
      <c r="A698" s="2321"/>
      <c r="B698" s="2322"/>
      <c r="C698" s="2322"/>
      <c r="D698" s="2322"/>
      <c r="E698" s="2322"/>
      <c r="F698" s="2322"/>
      <c r="G698" s="2323"/>
      <c r="H698" s="657"/>
      <c r="I698" s="657"/>
      <c r="J698" s="657"/>
      <c r="K698" s="657"/>
      <c r="L698" s="657"/>
      <c r="M698" s="657"/>
    </row>
    <row r="699" spans="1:13" ht="15.75" thickBot="1">
      <c r="A699" s="671" t="s">
        <v>78</v>
      </c>
      <c r="B699" s="2180" t="s">
        <v>843</v>
      </c>
      <c r="C699" s="2181"/>
      <c r="D699" s="2181"/>
      <c r="E699" s="2181"/>
      <c r="F699" s="2181"/>
      <c r="G699" s="2182"/>
      <c r="H699" s="657"/>
      <c r="I699" s="657"/>
      <c r="J699" s="657"/>
      <c r="K699" s="657"/>
      <c r="L699" s="657"/>
      <c r="M699" s="657"/>
    </row>
    <row r="700" spans="1:13">
      <c r="A700" s="2213" t="s">
        <v>389</v>
      </c>
      <c r="B700" s="2214"/>
      <c r="C700" s="2214"/>
      <c r="D700" s="2214"/>
      <c r="E700" s="2214"/>
      <c r="F700" s="2214"/>
      <c r="G700" s="2215"/>
      <c r="H700" s="657"/>
      <c r="I700" s="657"/>
      <c r="J700" s="657"/>
      <c r="K700" s="657"/>
      <c r="L700" s="657"/>
      <c r="M700" s="657"/>
    </row>
    <row r="701" spans="1:13">
      <c r="A701" s="2241" t="s">
        <v>390</v>
      </c>
      <c r="B701" s="2228"/>
      <c r="C701" s="2228"/>
      <c r="D701" s="2228"/>
      <c r="E701" s="2228"/>
      <c r="F701" s="2228"/>
      <c r="G701" s="2229"/>
      <c r="H701" s="657"/>
      <c r="I701" s="657"/>
      <c r="J701" s="657"/>
      <c r="K701" s="657"/>
      <c r="L701" s="657"/>
      <c r="M701" s="657"/>
    </row>
    <row r="702" spans="1:13" ht="24">
      <c r="A702" s="2273" t="s">
        <v>391</v>
      </c>
      <c r="B702" s="2242"/>
      <c r="C702" s="687" t="s">
        <v>305</v>
      </c>
      <c r="D702" s="687" t="s">
        <v>831</v>
      </c>
      <c r="E702" s="2189" t="s">
        <v>306</v>
      </c>
      <c r="F702" s="2190"/>
      <c r="G702" s="2191"/>
      <c r="H702" s="657"/>
      <c r="I702" s="657"/>
      <c r="J702" s="657"/>
      <c r="K702" s="657"/>
      <c r="L702" s="657"/>
      <c r="M702" s="657"/>
    </row>
    <row r="703" spans="1:13">
      <c r="A703" s="2346" t="s">
        <v>844</v>
      </c>
      <c r="B703" s="2163"/>
      <c r="C703" s="747" t="s">
        <v>845</v>
      </c>
      <c r="D703" s="723">
        <f>68.14+108.42</f>
        <v>176.56</v>
      </c>
      <c r="E703" s="2282"/>
      <c r="F703" s="2283"/>
      <c r="G703" s="2284"/>
      <c r="H703" s="657"/>
      <c r="I703" s="657"/>
      <c r="J703" s="657"/>
      <c r="K703" s="657"/>
      <c r="L703" s="657"/>
      <c r="M703" s="657"/>
    </row>
    <row r="704" spans="1:13" ht="15.75" thickBot="1">
      <c r="A704" s="2308" t="s">
        <v>387</v>
      </c>
      <c r="B704" s="2271"/>
      <c r="C704" s="2272"/>
      <c r="D704" s="844">
        <f>SUM(D700:D703)</f>
        <v>176.56</v>
      </c>
      <c r="E704" s="2353"/>
      <c r="F704" s="2296"/>
      <c r="G704" s="2354"/>
      <c r="H704" s="657"/>
      <c r="I704" s="657"/>
      <c r="J704" s="657"/>
      <c r="K704" s="657"/>
      <c r="L704" s="657"/>
      <c r="M704" s="657"/>
    </row>
    <row r="705" spans="1:13" ht="15.75" thickBot="1">
      <c r="A705" s="829"/>
      <c r="B705" s="830"/>
      <c r="C705" s="830"/>
      <c r="D705" s="830"/>
      <c r="E705" s="830"/>
      <c r="F705" s="830"/>
      <c r="G705" s="831"/>
      <c r="H705" s="657"/>
      <c r="I705" s="657"/>
      <c r="J705" s="657"/>
      <c r="K705" s="657"/>
      <c r="L705" s="657"/>
      <c r="M705" s="657"/>
    </row>
    <row r="706" spans="1:13" ht="15.75" thickBot="1">
      <c r="A706" s="671" t="s">
        <v>79</v>
      </c>
      <c r="B706" s="2180" t="s">
        <v>846</v>
      </c>
      <c r="C706" s="2181"/>
      <c r="D706" s="2181"/>
      <c r="E706" s="2181"/>
      <c r="F706" s="2181"/>
      <c r="G706" s="2182"/>
      <c r="H706" s="657"/>
      <c r="I706" s="657"/>
      <c r="J706" s="657"/>
      <c r="K706" s="657"/>
      <c r="L706" s="657"/>
      <c r="M706" s="657"/>
    </row>
    <row r="707" spans="1:13">
      <c r="A707" s="2213" t="s">
        <v>389</v>
      </c>
      <c r="B707" s="2214"/>
      <c r="C707" s="2214"/>
      <c r="D707" s="2214"/>
      <c r="E707" s="2214"/>
      <c r="F707" s="2214"/>
      <c r="G707" s="2215"/>
      <c r="H707" s="657"/>
      <c r="I707" s="657"/>
      <c r="J707" s="657"/>
      <c r="K707" s="657"/>
      <c r="L707" s="657"/>
      <c r="M707" s="657"/>
    </row>
    <row r="708" spans="1:13">
      <c r="A708" s="2241" t="s">
        <v>390</v>
      </c>
      <c r="B708" s="2228"/>
      <c r="C708" s="2228"/>
      <c r="D708" s="2228"/>
      <c r="E708" s="2228"/>
      <c r="F708" s="2228"/>
      <c r="G708" s="2229"/>
      <c r="H708" s="657"/>
      <c r="I708" s="657"/>
      <c r="J708" s="657"/>
      <c r="K708" s="657"/>
      <c r="L708" s="657"/>
      <c r="M708" s="657"/>
    </row>
    <row r="709" spans="1:13" ht="24">
      <c r="A709" s="2273" t="s">
        <v>391</v>
      </c>
      <c r="B709" s="2242"/>
      <c r="C709" s="687" t="s">
        <v>305</v>
      </c>
      <c r="D709" s="687" t="s">
        <v>831</v>
      </c>
      <c r="E709" s="2189" t="s">
        <v>306</v>
      </c>
      <c r="F709" s="2190"/>
      <c r="G709" s="2191"/>
      <c r="H709" s="657"/>
      <c r="I709" s="657"/>
      <c r="J709" s="657"/>
      <c r="K709" s="657"/>
      <c r="L709" s="657"/>
      <c r="M709" s="657"/>
    </row>
    <row r="710" spans="1:13" ht="24" customHeight="1">
      <c r="A710" s="2346" t="s">
        <v>832</v>
      </c>
      <c r="B710" s="2163"/>
      <c r="C710" s="747" t="s">
        <v>833</v>
      </c>
      <c r="D710" s="723">
        <f>3.18+2.78+2.78</f>
        <v>8.74</v>
      </c>
      <c r="E710" s="2162" t="s">
        <v>398</v>
      </c>
      <c r="F710" s="2350"/>
      <c r="G710" s="2351"/>
      <c r="H710" s="657"/>
      <c r="I710" s="657"/>
      <c r="J710" s="657"/>
      <c r="K710" s="657"/>
      <c r="L710" s="657"/>
      <c r="M710" s="657"/>
    </row>
    <row r="711" spans="1:13">
      <c r="A711" s="2346" t="s">
        <v>834</v>
      </c>
      <c r="B711" s="2163"/>
      <c r="C711" s="747" t="s">
        <v>835</v>
      </c>
      <c r="D711" s="723">
        <f>7.7+7.68+7.68</f>
        <v>23.06</v>
      </c>
      <c r="E711" s="2162" t="s">
        <v>399</v>
      </c>
      <c r="F711" s="2350"/>
      <c r="G711" s="2351"/>
      <c r="H711" s="657"/>
      <c r="I711" s="657"/>
      <c r="J711" s="657"/>
      <c r="K711" s="657"/>
      <c r="L711" s="657"/>
      <c r="M711" s="657"/>
    </row>
    <row r="712" spans="1:13" ht="42.75" customHeight="1">
      <c r="A712" s="2346" t="s">
        <v>836</v>
      </c>
      <c r="B712" s="2163"/>
      <c r="C712" s="747" t="s">
        <v>837</v>
      </c>
      <c r="D712" s="723">
        <f>34.87+72.37+10.55+16+19.64+20+30.21+10.61</f>
        <v>214.25</v>
      </c>
      <c r="E712" s="2162" t="s">
        <v>400</v>
      </c>
      <c r="F712" s="2350"/>
      <c r="G712" s="2351"/>
      <c r="H712" s="657"/>
      <c r="I712" s="657"/>
      <c r="J712" s="657"/>
      <c r="K712" s="657"/>
      <c r="L712" s="657"/>
      <c r="M712" s="657"/>
    </row>
    <row r="713" spans="1:13" ht="15.75" thickBot="1">
      <c r="A713" s="2308" t="s">
        <v>387</v>
      </c>
      <c r="B713" s="2271"/>
      <c r="C713" s="2272"/>
      <c r="D713" s="844">
        <f>SUM(D710:D712)</f>
        <v>246.05</v>
      </c>
      <c r="E713" s="2353"/>
      <c r="F713" s="2296"/>
      <c r="G713" s="2354"/>
      <c r="H713" s="657"/>
      <c r="I713" s="657"/>
      <c r="J713" s="657"/>
      <c r="K713" s="657"/>
      <c r="L713" s="657"/>
      <c r="M713" s="657"/>
    </row>
    <row r="714" spans="1:13" ht="15.75" thickBot="1">
      <c r="A714" s="722"/>
      <c r="B714" s="759"/>
      <c r="C714" s="759"/>
      <c r="D714" s="759"/>
      <c r="E714" s="760"/>
      <c r="F714" s="760"/>
      <c r="G714" s="846"/>
      <c r="H714" s="657"/>
      <c r="I714" s="657"/>
      <c r="J714" s="657"/>
      <c r="K714" s="657"/>
      <c r="L714" s="657"/>
      <c r="M714" s="657"/>
    </row>
    <row r="715" spans="1:13" ht="15.75" thickBot="1">
      <c r="A715" s="671" t="s">
        <v>245</v>
      </c>
      <c r="B715" s="2180" t="s">
        <v>847</v>
      </c>
      <c r="C715" s="2181"/>
      <c r="D715" s="2181"/>
      <c r="E715" s="2181"/>
      <c r="F715" s="2181"/>
      <c r="G715" s="2182"/>
      <c r="H715" s="657"/>
      <c r="I715" s="657"/>
      <c r="J715" s="657"/>
      <c r="K715" s="657"/>
      <c r="L715" s="657"/>
      <c r="M715" s="657"/>
    </row>
    <row r="716" spans="1:13">
      <c r="A716" s="2213" t="s">
        <v>389</v>
      </c>
      <c r="B716" s="2214"/>
      <c r="C716" s="2214"/>
      <c r="D716" s="2214"/>
      <c r="E716" s="2214"/>
      <c r="F716" s="2214"/>
      <c r="G716" s="2215"/>
      <c r="H716" s="657"/>
      <c r="I716" s="657"/>
      <c r="J716" s="657"/>
      <c r="K716" s="657"/>
      <c r="L716" s="657"/>
      <c r="M716" s="657"/>
    </row>
    <row r="717" spans="1:13">
      <c r="A717" s="2241" t="s">
        <v>390</v>
      </c>
      <c r="B717" s="2228"/>
      <c r="C717" s="2228"/>
      <c r="D717" s="2228"/>
      <c r="E717" s="2228"/>
      <c r="F717" s="2228"/>
      <c r="G717" s="2229"/>
      <c r="H717" s="657"/>
      <c r="I717" s="657"/>
      <c r="J717" s="657"/>
      <c r="K717" s="657"/>
      <c r="L717" s="657"/>
      <c r="M717" s="657"/>
    </row>
    <row r="718" spans="1:13" ht="24">
      <c r="A718" s="2273" t="s">
        <v>391</v>
      </c>
      <c r="B718" s="2242"/>
      <c r="C718" s="687" t="s">
        <v>305</v>
      </c>
      <c r="D718" s="687" t="s">
        <v>831</v>
      </c>
      <c r="E718" s="2189" t="s">
        <v>306</v>
      </c>
      <c r="F718" s="2190"/>
      <c r="G718" s="2191"/>
      <c r="H718" s="657"/>
      <c r="I718" s="657"/>
      <c r="J718" s="657"/>
      <c r="K718" s="657"/>
      <c r="L718" s="657"/>
      <c r="M718" s="657"/>
    </row>
    <row r="719" spans="1:13" ht="26.25" customHeight="1">
      <c r="A719" s="2346" t="s">
        <v>832</v>
      </c>
      <c r="B719" s="2163"/>
      <c r="C719" s="747" t="s">
        <v>833</v>
      </c>
      <c r="D719" s="723">
        <f>3.18+2.78+2.78</f>
        <v>8.74</v>
      </c>
      <c r="E719" s="2162" t="s">
        <v>398</v>
      </c>
      <c r="F719" s="2350"/>
      <c r="G719" s="2351"/>
      <c r="H719" s="657"/>
      <c r="I719" s="657"/>
      <c r="J719" s="657"/>
      <c r="K719" s="657"/>
      <c r="L719" s="657"/>
      <c r="M719" s="657"/>
    </row>
    <row r="720" spans="1:13">
      <c r="A720" s="2346" t="s">
        <v>834</v>
      </c>
      <c r="B720" s="2163"/>
      <c r="C720" s="747" t="s">
        <v>835</v>
      </c>
      <c r="D720" s="723">
        <f>7.7+7.68+7.68</f>
        <v>23.06</v>
      </c>
      <c r="E720" s="2162" t="s">
        <v>399</v>
      </c>
      <c r="F720" s="2350"/>
      <c r="G720" s="2351"/>
      <c r="H720" s="657"/>
      <c r="I720" s="657"/>
      <c r="J720" s="657"/>
      <c r="K720" s="657"/>
      <c r="L720" s="657"/>
      <c r="M720" s="657"/>
    </row>
    <row r="721" spans="1:13" ht="48">
      <c r="A721" s="2346" t="s">
        <v>836</v>
      </c>
      <c r="B721" s="2163"/>
      <c r="C721" s="747" t="s">
        <v>837</v>
      </c>
      <c r="D721" s="723">
        <f>34.87+72.37+10.55+16+19.64+20+30.21+10.61</f>
        <v>214.25</v>
      </c>
      <c r="E721" s="2162" t="s">
        <v>400</v>
      </c>
      <c r="F721" s="2350"/>
      <c r="G721" s="2351"/>
      <c r="H721" s="657"/>
      <c r="I721" s="657"/>
      <c r="J721" s="657"/>
      <c r="K721" s="657"/>
      <c r="L721" s="657"/>
      <c r="M721" s="657"/>
    </row>
    <row r="722" spans="1:13" ht="15.75" thickBot="1">
      <c r="A722" s="2308" t="s">
        <v>387</v>
      </c>
      <c r="B722" s="2271"/>
      <c r="C722" s="2272"/>
      <c r="D722" s="844">
        <f>SUM(D719:D721)</f>
        <v>246.05</v>
      </c>
      <c r="E722" s="2353"/>
      <c r="F722" s="2296"/>
      <c r="G722" s="2354"/>
      <c r="H722" s="657"/>
      <c r="I722" s="657"/>
      <c r="J722" s="657"/>
      <c r="K722" s="657"/>
      <c r="L722" s="657"/>
      <c r="M722" s="657"/>
    </row>
    <row r="723" spans="1:13" ht="15.75" thickBot="1">
      <c r="A723" s="847"/>
      <c r="B723" s="760"/>
      <c r="C723" s="760"/>
      <c r="D723" s="738"/>
      <c r="E723" s="794"/>
      <c r="F723" s="794"/>
      <c r="G723" s="848"/>
      <c r="H723" s="657"/>
      <c r="I723" s="657"/>
      <c r="J723" s="657"/>
      <c r="K723" s="657"/>
      <c r="L723" s="657"/>
      <c r="M723" s="657"/>
    </row>
    <row r="724" spans="1:13" ht="15.75" thickBot="1">
      <c r="A724" s="671" t="s">
        <v>246</v>
      </c>
      <c r="B724" s="2180" t="s">
        <v>848</v>
      </c>
      <c r="C724" s="2181"/>
      <c r="D724" s="2181"/>
      <c r="E724" s="2181"/>
      <c r="F724" s="2181"/>
      <c r="G724" s="2182"/>
      <c r="H724" s="657"/>
      <c r="I724" s="657"/>
      <c r="J724" s="657"/>
      <c r="K724" s="657"/>
      <c r="L724" s="657"/>
      <c r="M724" s="657"/>
    </row>
    <row r="725" spans="1:13">
      <c r="A725" s="2213" t="s">
        <v>849</v>
      </c>
      <c r="B725" s="2214"/>
      <c r="C725" s="2214"/>
      <c r="D725" s="2214"/>
      <c r="E725" s="2214"/>
      <c r="F725" s="2214"/>
      <c r="G725" s="2215"/>
      <c r="H725" s="657"/>
      <c r="I725" s="657"/>
      <c r="J725" s="657"/>
      <c r="K725" s="657"/>
      <c r="L725" s="657"/>
      <c r="M725" s="657"/>
    </row>
    <row r="726" spans="1:13">
      <c r="A726" s="2241" t="s">
        <v>850</v>
      </c>
      <c r="B726" s="2228"/>
      <c r="C726" s="2228"/>
      <c r="D726" s="2228"/>
      <c r="E726" s="2228"/>
      <c r="F726" s="2228"/>
      <c r="G726" s="2229"/>
      <c r="H726" s="657"/>
      <c r="I726" s="657"/>
      <c r="J726" s="657"/>
      <c r="K726" s="657"/>
      <c r="L726" s="657"/>
      <c r="M726" s="657"/>
    </row>
    <row r="727" spans="1:13" ht="36">
      <c r="A727" s="2273" t="s">
        <v>391</v>
      </c>
      <c r="B727" s="2242"/>
      <c r="C727" s="687" t="s">
        <v>851</v>
      </c>
      <c r="D727" s="687" t="s">
        <v>852</v>
      </c>
      <c r="E727" s="687" t="s">
        <v>358</v>
      </c>
      <c r="F727" s="2189" t="s">
        <v>306</v>
      </c>
      <c r="G727" s="2191"/>
      <c r="H727" s="657"/>
      <c r="I727" s="657"/>
      <c r="J727" s="657"/>
      <c r="K727" s="657"/>
      <c r="L727" s="657"/>
      <c r="M727" s="657"/>
    </row>
    <row r="728" spans="1:13">
      <c r="A728" s="2299" t="s">
        <v>853</v>
      </c>
      <c r="B728" s="2300"/>
      <c r="C728" s="2361" t="s">
        <v>2068</v>
      </c>
      <c r="D728" s="2361" t="s">
        <v>854</v>
      </c>
      <c r="E728" s="2364">
        <f>(15.7+19.2+15.2+12.2+33.6+22.7+13.3)*0.15</f>
        <v>19.785</v>
      </c>
      <c r="F728" s="2280"/>
      <c r="G728" s="2302"/>
      <c r="H728" s="657"/>
      <c r="I728" s="657">
        <f>15.7+19.2+15.2+12.2+33.6+22.7+13.3</f>
        <v>131.9</v>
      </c>
      <c r="J728" s="657">
        <f>131.9*0.15</f>
        <v>19.785</v>
      </c>
      <c r="K728" s="657"/>
      <c r="L728" s="657"/>
      <c r="M728" s="657"/>
    </row>
    <row r="729" spans="1:13">
      <c r="A729" s="2357"/>
      <c r="B729" s="2358"/>
      <c r="C729" s="2362"/>
      <c r="D729" s="2362"/>
      <c r="E729" s="2365"/>
      <c r="F729" s="2367"/>
      <c r="G729" s="2368"/>
      <c r="H729" s="657"/>
      <c r="I729" s="657"/>
      <c r="J729" s="657"/>
      <c r="K729" s="657"/>
      <c r="L729" s="657"/>
      <c r="M729" s="657"/>
    </row>
    <row r="730" spans="1:13">
      <c r="A730" s="2359"/>
      <c r="B730" s="2360"/>
      <c r="C730" s="2363"/>
      <c r="D730" s="2363"/>
      <c r="E730" s="2366"/>
      <c r="F730" s="2369"/>
      <c r="G730" s="2370"/>
      <c r="H730" s="657"/>
      <c r="I730" s="657"/>
      <c r="J730" s="657"/>
      <c r="K730" s="657"/>
      <c r="L730" s="657"/>
      <c r="M730" s="657"/>
    </row>
    <row r="731" spans="1:13" ht="15.75" thickBot="1">
      <c r="A731" s="2308" t="s">
        <v>387</v>
      </c>
      <c r="B731" s="2271"/>
      <c r="C731" s="2272"/>
      <c r="D731" s="844">
        <f>E728</f>
        <v>19.785</v>
      </c>
      <c r="E731" s="803"/>
      <c r="F731" s="849"/>
      <c r="G731" s="804"/>
      <c r="H731" s="657"/>
      <c r="I731" s="657"/>
      <c r="J731" s="657"/>
      <c r="K731" s="657"/>
      <c r="L731" s="657"/>
      <c r="M731" s="657"/>
    </row>
    <row r="732" spans="1:13" ht="15.75" thickBot="1">
      <c r="A732" s="847"/>
      <c r="B732" s="760"/>
      <c r="C732" s="760"/>
      <c r="D732" s="738"/>
      <c r="E732" s="794"/>
      <c r="F732" s="794"/>
      <c r="G732" s="848"/>
      <c r="H732" s="657"/>
      <c r="I732" s="657"/>
      <c r="J732" s="657"/>
      <c r="K732" s="657"/>
      <c r="L732" s="657"/>
      <c r="M732" s="657"/>
    </row>
    <row r="733" spans="1:13" ht="15.75" thickBot="1">
      <c r="A733" s="671">
        <v>11</v>
      </c>
      <c r="B733" s="2180" t="s">
        <v>855</v>
      </c>
      <c r="C733" s="2181"/>
      <c r="D733" s="2181"/>
      <c r="E733" s="2181"/>
      <c r="F733" s="2181"/>
      <c r="G733" s="2182"/>
      <c r="H733" s="657"/>
      <c r="I733" s="657"/>
      <c r="J733" s="657"/>
      <c r="K733" s="657"/>
      <c r="L733" s="657"/>
      <c r="M733" s="657"/>
    </row>
    <row r="734" spans="1:13" ht="15.75" thickBot="1">
      <c r="A734" s="671" t="s">
        <v>81</v>
      </c>
      <c r="B734" s="2180" t="s">
        <v>856</v>
      </c>
      <c r="C734" s="2181"/>
      <c r="D734" s="2181"/>
      <c r="E734" s="2181"/>
      <c r="F734" s="2181"/>
      <c r="G734" s="2182"/>
      <c r="H734" s="657"/>
      <c r="I734" s="657"/>
      <c r="J734" s="657"/>
      <c r="K734" s="657"/>
      <c r="L734" s="657"/>
      <c r="M734" s="657"/>
    </row>
    <row r="735" spans="1:13">
      <c r="A735" s="2192" t="s">
        <v>303</v>
      </c>
      <c r="B735" s="2193"/>
      <c r="C735" s="2193"/>
      <c r="D735" s="2193"/>
      <c r="E735" s="2193"/>
      <c r="F735" s="2193"/>
      <c r="G735" s="2194"/>
      <c r="H735" s="657"/>
      <c r="I735" s="657"/>
      <c r="J735" s="657"/>
      <c r="K735" s="657"/>
      <c r="L735" s="657"/>
      <c r="M735" s="657"/>
    </row>
    <row r="736" spans="1:13">
      <c r="A736" s="2241" t="s">
        <v>857</v>
      </c>
      <c r="B736" s="2228"/>
      <c r="C736" s="2228"/>
      <c r="D736" s="2228"/>
      <c r="E736" s="2228"/>
      <c r="F736" s="2228"/>
      <c r="G736" s="2229"/>
      <c r="H736" s="657"/>
      <c r="I736" s="657"/>
      <c r="J736" s="657"/>
      <c r="K736" s="657"/>
      <c r="L736" s="657"/>
      <c r="M736" s="657"/>
    </row>
    <row r="737" spans="1:13">
      <c r="A737" s="686" t="s">
        <v>377</v>
      </c>
      <c r="B737" s="687" t="s">
        <v>322</v>
      </c>
      <c r="C737" s="687" t="s">
        <v>332</v>
      </c>
      <c r="D737" s="687" t="s">
        <v>333</v>
      </c>
      <c r="E737" s="687" t="s">
        <v>334</v>
      </c>
      <c r="F737" s="687" t="s">
        <v>335</v>
      </c>
      <c r="G737" s="745" t="s">
        <v>336</v>
      </c>
      <c r="H737" s="657"/>
      <c r="I737" s="657"/>
      <c r="J737" s="657"/>
      <c r="K737" s="657"/>
      <c r="L737" s="657"/>
      <c r="M737" s="657"/>
    </row>
    <row r="738" spans="1:13" ht="24">
      <c r="A738" s="701" t="s">
        <v>858</v>
      </c>
      <c r="B738" s="747" t="s">
        <v>859</v>
      </c>
      <c r="C738" s="723">
        <v>1.8</v>
      </c>
      <c r="D738" s="723">
        <f>ROUNDUP((((1.85+1.51)*1.8)),2)</f>
        <v>6.05</v>
      </c>
      <c r="E738" s="747" t="s">
        <v>860</v>
      </c>
      <c r="F738" s="723">
        <f>(0.8*1.6*2)+(0.16*2)</f>
        <v>2.8800000000000003</v>
      </c>
      <c r="G738" s="748">
        <f>ROUNDUP(D738-F738,2)</f>
        <v>3.17</v>
      </c>
      <c r="H738" s="657"/>
      <c r="I738" s="657"/>
      <c r="J738" s="657"/>
      <c r="K738" s="657"/>
      <c r="L738" s="657"/>
      <c r="M738" s="657"/>
    </row>
    <row r="739" spans="1:13" ht="24">
      <c r="A739" s="701" t="s">
        <v>861</v>
      </c>
      <c r="B739" s="747" t="s">
        <v>862</v>
      </c>
      <c r="C739" s="723">
        <v>2.8</v>
      </c>
      <c r="D739" s="723">
        <f>ROUNDUP((((1.85+1.51)*1.8)),2)</f>
        <v>6.05</v>
      </c>
      <c r="E739" s="747" t="s">
        <v>860</v>
      </c>
      <c r="F739" s="723">
        <f>(0.8*1.6*2)+(0.16*2)</f>
        <v>2.8800000000000003</v>
      </c>
      <c r="G739" s="748">
        <f>ROUNDUP(D739-F739,2)</f>
        <v>3.17</v>
      </c>
      <c r="H739" s="657"/>
      <c r="I739" s="657"/>
      <c r="J739" s="657"/>
      <c r="K739" s="657"/>
      <c r="L739" s="657"/>
      <c r="M739" s="657"/>
    </row>
    <row r="740" spans="1:13" ht="15.75" thickBot="1">
      <c r="A740" s="2355" t="s">
        <v>307</v>
      </c>
      <c r="B740" s="2231"/>
      <c r="C740" s="2231"/>
      <c r="D740" s="2231"/>
      <c r="E740" s="2231"/>
      <c r="F740" s="2356"/>
      <c r="G740" s="832">
        <f>ROUNDUP(G738+G739,2)</f>
        <v>6.34</v>
      </c>
      <c r="H740" s="657"/>
      <c r="I740" s="657"/>
      <c r="J740" s="657"/>
      <c r="K740" s="657"/>
      <c r="L740" s="657"/>
      <c r="M740" s="657"/>
    </row>
    <row r="741" spans="1:13" ht="15.75" thickBot="1">
      <c r="A741" s="793"/>
      <c r="B741" s="794"/>
      <c r="C741" s="738"/>
      <c r="D741" s="738"/>
      <c r="E741" s="738"/>
      <c r="F741" s="738"/>
      <c r="G741" s="761"/>
      <c r="H741" s="657"/>
      <c r="I741" s="657"/>
      <c r="J741" s="657"/>
      <c r="K741" s="657"/>
      <c r="L741" s="657"/>
      <c r="M741" s="657"/>
    </row>
    <row r="742" spans="1:13" ht="15.75" thickBot="1">
      <c r="A742" s="671">
        <v>12</v>
      </c>
      <c r="B742" s="2180" t="s">
        <v>863</v>
      </c>
      <c r="C742" s="2181"/>
      <c r="D742" s="2181"/>
      <c r="E742" s="2181"/>
      <c r="F742" s="2181"/>
      <c r="G742" s="2182"/>
      <c r="H742" s="657"/>
      <c r="I742" s="657"/>
      <c r="J742" s="657"/>
      <c r="K742" s="657"/>
      <c r="L742" s="657"/>
      <c r="M742" s="657"/>
    </row>
    <row r="743" spans="1:13" ht="15.75" thickBot="1">
      <c r="A743" s="671" t="s">
        <v>83</v>
      </c>
      <c r="B743" s="2180" t="s">
        <v>864</v>
      </c>
      <c r="C743" s="2181"/>
      <c r="D743" s="2181"/>
      <c r="E743" s="2181"/>
      <c r="F743" s="2181"/>
      <c r="G743" s="2182"/>
      <c r="H743" s="657"/>
      <c r="I743" s="657"/>
      <c r="J743" s="657"/>
      <c r="K743" s="657"/>
      <c r="L743" s="657"/>
      <c r="M743" s="657"/>
    </row>
    <row r="744" spans="1:13">
      <c r="A744" s="2213" t="s">
        <v>303</v>
      </c>
      <c r="B744" s="2214"/>
      <c r="C744" s="2214"/>
      <c r="D744" s="2214"/>
      <c r="E744" s="2214"/>
      <c r="F744" s="2214"/>
      <c r="G744" s="2215"/>
      <c r="H744" s="657"/>
      <c r="I744" s="657"/>
      <c r="J744" s="657"/>
      <c r="K744" s="657"/>
      <c r="L744" s="657"/>
      <c r="M744" s="657"/>
    </row>
    <row r="745" spans="1:13">
      <c r="A745" s="2241" t="s">
        <v>865</v>
      </c>
      <c r="B745" s="2228"/>
      <c r="C745" s="2228"/>
      <c r="D745" s="2228"/>
      <c r="E745" s="2228"/>
      <c r="F745" s="2228"/>
      <c r="G745" s="2229"/>
      <c r="H745" s="657"/>
      <c r="I745" s="657"/>
      <c r="J745" s="657"/>
      <c r="K745" s="657"/>
      <c r="L745" s="657"/>
      <c r="M745" s="657"/>
    </row>
    <row r="746" spans="1:13" ht="24">
      <c r="A746" s="686" t="s">
        <v>377</v>
      </c>
      <c r="B746" s="687" t="s">
        <v>866</v>
      </c>
      <c r="C746" s="687" t="s">
        <v>867</v>
      </c>
      <c r="D746" s="687" t="s">
        <v>868</v>
      </c>
      <c r="E746" s="687" t="s">
        <v>869</v>
      </c>
      <c r="F746" s="2189" t="s">
        <v>358</v>
      </c>
      <c r="G746" s="2191"/>
      <c r="H746" s="657"/>
      <c r="I746" s="657"/>
      <c r="J746" s="657"/>
      <c r="K746" s="657"/>
      <c r="L746" s="657"/>
      <c r="M746" s="657"/>
    </row>
    <row r="747" spans="1:13" ht="24">
      <c r="A747" s="770" t="s">
        <v>824</v>
      </c>
      <c r="B747" s="771" t="s">
        <v>870</v>
      </c>
      <c r="C747" s="690" t="s">
        <v>871</v>
      </c>
      <c r="D747" s="723">
        <f>(0.1*(2+0.6+0.6))</f>
        <v>0.32000000000000006</v>
      </c>
      <c r="E747" s="723">
        <f>ROUNDUP((0.6*2),2)</f>
        <v>1.2</v>
      </c>
      <c r="F747" s="2371">
        <f>D747+E747</f>
        <v>1.52</v>
      </c>
      <c r="G747" s="2372"/>
      <c r="H747" s="657"/>
      <c r="I747" s="657"/>
      <c r="J747" s="657"/>
      <c r="K747" s="657"/>
      <c r="L747" s="657"/>
      <c r="M747" s="657"/>
    </row>
    <row r="748" spans="1:13" ht="15.75" thickBot="1">
      <c r="A748" s="2355" t="s">
        <v>307</v>
      </c>
      <c r="B748" s="2231"/>
      <c r="C748" s="2231"/>
      <c r="D748" s="2231"/>
      <c r="E748" s="2356"/>
      <c r="F748" s="2246">
        <f>SUM(F747)</f>
        <v>1.52</v>
      </c>
      <c r="G748" s="2247"/>
      <c r="H748" s="657"/>
      <c r="I748" s="657"/>
      <c r="J748" s="657"/>
      <c r="K748" s="657"/>
      <c r="L748" s="657"/>
      <c r="M748" s="657"/>
    </row>
    <row r="749" spans="1:13" ht="15.75" thickBot="1">
      <c r="A749" s="793"/>
      <c r="B749" s="794"/>
      <c r="C749" s="738"/>
      <c r="D749" s="738"/>
      <c r="E749" s="738"/>
      <c r="F749" s="738"/>
      <c r="G749" s="761"/>
      <c r="H749" s="657"/>
      <c r="I749" s="657"/>
      <c r="J749" s="657"/>
      <c r="K749" s="657"/>
      <c r="L749" s="657"/>
      <c r="M749" s="657"/>
    </row>
    <row r="750" spans="1:13" ht="15.75" thickBot="1">
      <c r="A750" s="671" t="s">
        <v>84</v>
      </c>
      <c r="B750" s="2180" t="s">
        <v>872</v>
      </c>
      <c r="C750" s="2181"/>
      <c r="D750" s="2181"/>
      <c r="E750" s="2181"/>
      <c r="F750" s="2181"/>
      <c r="G750" s="2182"/>
      <c r="H750" s="657"/>
      <c r="I750" s="657"/>
      <c r="J750" s="657"/>
      <c r="K750" s="657"/>
      <c r="L750" s="657"/>
      <c r="M750" s="657"/>
    </row>
    <row r="751" spans="1:13">
      <c r="A751" s="2213" t="s">
        <v>303</v>
      </c>
      <c r="B751" s="2214"/>
      <c r="C751" s="2214"/>
      <c r="D751" s="2214"/>
      <c r="E751" s="2214"/>
      <c r="F751" s="2214"/>
      <c r="G751" s="2215"/>
      <c r="H751" s="657"/>
      <c r="I751" s="657"/>
      <c r="J751" s="657"/>
      <c r="K751" s="657"/>
      <c r="L751" s="657"/>
      <c r="M751" s="657"/>
    </row>
    <row r="752" spans="1:13">
      <c r="A752" s="2241" t="s">
        <v>865</v>
      </c>
      <c r="B752" s="2228"/>
      <c r="C752" s="2228"/>
      <c r="D752" s="2228"/>
      <c r="E752" s="2228"/>
      <c r="F752" s="2228"/>
      <c r="G752" s="2229"/>
      <c r="H752" s="657"/>
      <c r="I752" s="657"/>
      <c r="J752" s="657"/>
      <c r="K752" s="657"/>
      <c r="L752" s="657"/>
      <c r="M752" s="657"/>
    </row>
    <row r="753" spans="1:13" ht="24">
      <c r="A753" s="686" t="s">
        <v>377</v>
      </c>
      <c r="B753" s="687" t="s">
        <v>866</v>
      </c>
      <c r="C753" s="687" t="s">
        <v>867</v>
      </c>
      <c r="D753" s="687" t="s">
        <v>868</v>
      </c>
      <c r="E753" s="687" t="s">
        <v>869</v>
      </c>
      <c r="F753" s="2189" t="s">
        <v>358</v>
      </c>
      <c r="G753" s="2191"/>
      <c r="H753" s="657"/>
      <c r="I753" s="657"/>
      <c r="J753" s="657"/>
      <c r="K753" s="657"/>
      <c r="L753" s="657"/>
      <c r="M753" s="657"/>
    </row>
    <row r="754" spans="1:13" ht="25.5">
      <c r="A754" s="770" t="s">
        <v>873</v>
      </c>
      <c r="B754" s="771" t="s">
        <v>874</v>
      </c>
      <c r="C754" s="690" t="s">
        <v>875</v>
      </c>
      <c r="D754" s="723">
        <f>0.1*0.6*1.3</f>
        <v>7.8E-2</v>
      </c>
      <c r="E754" s="723">
        <f>ROUNDUP((0.6*1.3),2)</f>
        <v>0.78</v>
      </c>
      <c r="F754" s="2371">
        <f>(E754+D754)*2</f>
        <v>1.716</v>
      </c>
      <c r="G754" s="2372"/>
      <c r="H754" s="657"/>
      <c r="I754" s="922" t="s">
        <v>2062</v>
      </c>
      <c r="J754" s="657"/>
      <c r="K754" s="657"/>
      <c r="L754" s="657"/>
      <c r="M754" s="657"/>
    </row>
    <row r="755" spans="1:13" ht="15.75" thickBot="1">
      <c r="A755" s="2355" t="s">
        <v>307</v>
      </c>
      <c r="B755" s="2231"/>
      <c r="C755" s="2231"/>
      <c r="D755" s="2231"/>
      <c r="E755" s="2356"/>
      <c r="F755" s="2246">
        <f>SUM(F754)</f>
        <v>1.716</v>
      </c>
      <c r="G755" s="2247"/>
      <c r="H755" s="657"/>
      <c r="I755" s="657"/>
      <c r="J755" s="657"/>
      <c r="K755" s="657"/>
      <c r="L755" s="657"/>
      <c r="M755" s="657"/>
    </row>
    <row r="756" spans="1:13" ht="15.75" thickBot="1">
      <c r="A756" s="793"/>
      <c r="B756" s="794"/>
      <c r="C756" s="738"/>
      <c r="D756" s="738"/>
      <c r="E756" s="738"/>
      <c r="F756" s="738"/>
      <c r="G756" s="761"/>
      <c r="H756" s="657"/>
      <c r="I756" s="657"/>
      <c r="J756" s="657"/>
      <c r="K756" s="657"/>
      <c r="L756" s="657"/>
      <c r="M756" s="657"/>
    </row>
    <row r="757" spans="1:13" ht="15.75" thickBot="1">
      <c r="A757" s="671" t="s">
        <v>85</v>
      </c>
      <c r="B757" s="2180" t="s">
        <v>876</v>
      </c>
      <c r="C757" s="2181"/>
      <c r="D757" s="2181"/>
      <c r="E757" s="2181"/>
      <c r="F757" s="2181"/>
      <c r="G757" s="2182"/>
      <c r="H757" s="657"/>
      <c r="I757" s="657"/>
      <c r="J757" s="657"/>
      <c r="K757" s="657"/>
      <c r="L757" s="657"/>
      <c r="M757" s="657"/>
    </row>
    <row r="758" spans="1:13">
      <c r="A758" s="2213" t="s">
        <v>303</v>
      </c>
      <c r="B758" s="2214"/>
      <c r="C758" s="2214"/>
      <c r="D758" s="2214"/>
      <c r="E758" s="2214"/>
      <c r="F758" s="2214"/>
      <c r="G758" s="2215"/>
      <c r="H758" s="657"/>
      <c r="I758" s="657"/>
      <c r="J758" s="657"/>
      <c r="K758" s="657"/>
      <c r="L758" s="657"/>
      <c r="M758" s="657"/>
    </row>
    <row r="759" spans="1:13">
      <c r="A759" s="2241" t="s">
        <v>865</v>
      </c>
      <c r="B759" s="2228"/>
      <c r="C759" s="2228"/>
      <c r="D759" s="2228"/>
      <c r="E759" s="2228"/>
      <c r="F759" s="2228"/>
      <c r="G759" s="2229"/>
      <c r="H759" s="657"/>
      <c r="I759" s="657"/>
      <c r="J759" s="657"/>
      <c r="K759" s="657"/>
      <c r="L759" s="657"/>
      <c r="M759" s="657"/>
    </row>
    <row r="760" spans="1:13" ht="24">
      <c r="A760" s="686" t="s">
        <v>377</v>
      </c>
      <c r="B760" s="687" t="s">
        <v>345</v>
      </c>
      <c r="C760" s="687" t="s">
        <v>355</v>
      </c>
      <c r="D760" s="687" t="s">
        <v>877</v>
      </c>
      <c r="E760" s="687" t="s">
        <v>382</v>
      </c>
      <c r="F760" s="2189" t="s">
        <v>306</v>
      </c>
      <c r="G760" s="2191"/>
      <c r="H760" s="657"/>
      <c r="I760" s="657"/>
      <c r="J760" s="657"/>
      <c r="K760" s="657"/>
      <c r="L760" s="657"/>
      <c r="M760" s="657"/>
    </row>
    <row r="761" spans="1:13">
      <c r="A761" s="770" t="s">
        <v>878</v>
      </c>
      <c r="B761" s="771">
        <v>0.35</v>
      </c>
      <c r="C761" s="690">
        <v>1.2</v>
      </c>
      <c r="D761" s="723">
        <f>B761*C761</f>
        <v>0.42</v>
      </c>
      <c r="E761" s="723">
        <f>ROUNDUP(D761,2)</f>
        <v>0.42</v>
      </c>
      <c r="F761" s="2373"/>
      <c r="G761" s="2374"/>
      <c r="H761" s="657"/>
      <c r="I761" s="657"/>
      <c r="J761" s="657"/>
      <c r="K761" s="657"/>
      <c r="L761" s="657"/>
      <c r="M761" s="657"/>
    </row>
    <row r="762" spans="1:13">
      <c r="A762" s="2379"/>
      <c r="B762" s="2380"/>
      <c r="C762" s="2381"/>
      <c r="D762" s="850" t="s">
        <v>307</v>
      </c>
      <c r="E762" s="727">
        <f>ROUNDUP(E761,2)</f>
        <v>0.42</v>
      </c>
      <c r="F762" s="2375"/>
      <c r="G762" s="2376"/>
      <c r="H762" s="657"/>
      <c r="I762" s="657"/>
      <c r="J762" s="657"/>
      <c r="K762" s="657"/>
      <c r="L762" s="657"/>
      <c r="M762" s="657"/>
    </row>
    <row r="763" spans="1:13" ht="36">
      <c r="A763" s="686" t="s">
        <v>879</v>
      </c>
      <c r="B763" s="687" t="s">
        <v>880</v>
      </c>
      <c r="C763" s="687" t="s">
        <v>355</v>
      </c>
      <c r="D763" s="687" t="s">
        <v>2056</v>
      </c>
      <c r="E763" s="687" t="s">
        <v>2057</v>
      </c>
      <c r="F763" s="2375"/>
      <c r="G763" s="2376"/>
      <c r="H763" s="657"/>
      <c r="I763" s="657"/>
      <c r="J763" s="657"/>
      <c r="K763" s="657"/>
      <c r="L763" s="657"/>
      <c r="M763" s="657"/>
    </row>
    <row r="764" spans="1:13">
      <c r="A764" s="770" t="s">
        <v>878</v>
      </c>
      <c r="B764" s="771">
        <v>0.03</v>
      </c>
      <c r="C764" s="690">
        <v>1.2</v>
      </c>
      <c r="D764" s="723">
        <f>C764*B764</f>
        <v>3.5999999999999997E-2</v>
      </c>
      <c r="E764" s="723">
        <f>D764*2</f>
        <v>7.1999999999999995E-2</v>
      </c>
      <c r="F764" s="2375"/>
      <c r="G764" s="2376"/>
      <c r="H764" s="657"/>
      <c r="I764" s="657"/>
      <c r="J764" s="657"/>
      <c r="K764" s="657"/>
      <c r="L764" s="657"/>
      <c r="M764" s="657"/>
    </row>
    <row r="765" spans="1:13" ht="15.75" thickBot="1">
      <c r="A765" s="2298"/>
      <c r="B765" s="2246"/>
      <c r="C765" s="2382"/>
      <c r="D765" s="851" t="s">
        <v>307</v>
      </c>
      <c r="E765" s="681">
        <f>ROUNDUP(E764,2)</f>
        <v>0.08</v>
      </c>
      <c r="F765" s="2377"/>
      <c r="G765" s="2378"/>
      <c r="H765" s="657"/>
      <c r="I765" s="657"/>
      <c r="J765" s="657"/>
      <c r="K765" s="657"/>
      <c r="L765" s="657"/>
      <c r="M765" s="657"/>
    </row>
    <row r="766" spans="1:13" ht="15.75" thickBot="1">
      <c r="A766" s="793"/>
      <c r="B766" s="794"/>
      <c r="C766" s="738"/>
      <c r="D766" s="738"/>
      <c r="E766" s="738"/>
      <c r="F766" s="738"/>
      <c r="G766" s="761"/>
      <c r="H766" s="657"/>
      <c r="I766" s="657"/>
      <c r="J766" s="657"/>
      <c r="K766" s="657"/>
      <c r="L766" s="657"/>
      <c r="M766" s="657"/>
    </row>
    <row r="767" spans="1:13" ht="15.75" thickBot="1">
      <c r="A767" s="671">
        <v>13</v>
      </c>
      <c r="B767" s="2180" t="s">
        <v>394</v>
      </c>
      <c r="C767" s="2181"/>
      <c r="D767" s="2181"/>
      <c r="E767" s="2181"/>
      <c r="F767" s="2181"/>
      <c r="G767" s="2182"/>
      <c r="H767" s="657"/>
      <c r="I767" s="657"/>
      <c r="J767" s="657"/>
      <c r="K767" s="657"/>
      <c r="L767" s="657"/>
      <c r="M767" s="657"/>
    </row>
    <row r="768" spans="1:13" ht="15.75" thickBot="1">
      <c r="A768" s="671" t="s">
        <v>87</v>
      </c>
      <c r="B768" s="2180" t="s">
        <v>881</v>
      </c>
      <c r="C768" s="2181"/>
      <c r="D768" s="2181"/>
      <c r="E768" s="2181"/>
      <c r="F768" s="2181"/>
      <c r="G768" s="2182"/>
      <c r="H768" s="657"/>
      <c r="I768" s="657"/>
      <c r="J768" s="657"/>
      <c r="K768" s="657"/>
      <c r="L768" s="657"/>
      <c r="M768" s="657"/>
    </row>
    <row r="769" spans="1:13">
      <c r="A769" s="2213" t="s">
        <v>882</v>
      </c>
      <c r="B769" s="2214"/>
      <c r="C769" s="2214"/>
      <c r="D769" s="2214"/>
      <c r="E769" s="2214"/>
      <c r="F769" s="2214"/>
      <c r="G769" s="2215"/>
      <c r="H769" s="657"/>
      <c r="I769" s="657"/>
      <c r="J769" s="657"/>
      <c r="K769" s="657"/>
      <c r="L769" s="657"/>
      <c r="M769" s="657"/>
    </row>
    <row r="770" spans="1:13">
      <c r="A770" s="2241" t="s">
        <v>883</v>
      </c>
      <c r="B770" s="2228"/>
      <c r="C770" s="2228"/>
      <c r="D770" s="2228"/>
      <c r="E770" s="2228"/>
      <c r="F770" s="2228"/>
      <c r="G770" s="2229"/>
      <c r="H770" s="657"/>
      <c r="I770" s="657"/>
      <c r="J770" s="657"/>
      <c r="K770" s="657"/>
      <c r="L770" s="657"/>
      <c r="M770" s="657"/>
    </row>
    <row r="771" spans="1:13">
      <c r="A771" s="686" t="s">
        <v>322</v>
      </c>
      <c r="B771" s="687" t="s">
        <v>322</v>
      </c>
      <c r="C771" s="687" t="s">
        <v>332</v>
      </c>
      <c r="D771" s="687" t="s">
        <v>333</v>
      </c>
      <c r="E771" s="687" t="s">
        <v>334</v>
      </c>
      <c r="F771" s="687" t="s">
        <v>335</v>
      </c>
      <c r="G771" s="745" t="s">
        <v>336</v>
      </c>
      <c r="H771" s="657"/>
      <c r="I771" s="657"/>
      <c r="J771" s="657"/>
      <c r="K771" s="657"/>
      <c r="L771" s="657"/>
      <c r="M771" s="657"/>
    </row>
    <row r="772" spans="1:13">
      <c r="A772" s="2201" t="s">
        <v>731</v>
      </c>
      <c r="B772" s="2202"/>
      <c r="C772" s="2202"/>
      <c r="D772" s="2202"/>
      <c r="E772" s="2202"/>
      <c r="F772" s="2202"/>
      <c r="G772" s="2203"/>
      <c r="H772" s="657"/>
      <c r="I772" s="657"/>
      <c r="J772" s="657"/>
      <c r="K772" s="657"/>
      <c r="L772" s="657"/>
      <c r="M772" s="657"/>
    </row>
    <row r="773" spans="1:13">
      <c r="A773" s="701" t="s">
        <v>732</v>
      </c>
      <c r="B773" s="723">
        <v>1.5</v>
      </c>
      <c r="C773" s="723">
        <v>2.8</v>
      </c>
      <c r="D773" s="723">
        <f t="shared" ref="D773:D780" si="24">B773*C773</f>
        <v>4.1999999999999993</v>
      </c>
      <c r="E773" s="723"/>
      <c r="F773" s="723"/>
      <c r="G773" s="748">
        <f t="shared" ref="G773:G780" si="25">D773-F773</f>
        <v>4.1999999999999993</v>
      </c>
      <c r="H773" s="657"/>
      <c r="I773" s="657"/>
      <c r="J773" s="657"/>
      <c r="K773" s="657"/>
      <c r="L773" s="657"/>
      <c r="M773" s="657"/>
    </row>
    <row r="774" spans="1:13">
      <c r="A774" s="701" t="s">
        <v>733</v>
      </c>
      <c r="B774" s="805">
        <v>1.95</v>
      </c>
      <c r="C774" s="723">
        <v>2.8</v>
      </c>
      <c r="D774" s="723">
        <f t="shared" si="24"/>
        <v>5.46</v>
      </c>
      <c r="E774" s="747" t="s">
        <v>734</v>
      </c>
      <c r="F774" s="723">
        <f>0.8*2.1</f>
        <v>1.6800000000000002</v>
      </c>
      <c r="G774" s="748">
        <f t="shared" si="25"/>
        <v>3.78</v>
      </c>
      <c r="H774" s="657"/>
      <c r="I774" s="657"/>
      <c r="J774" s="657"/>
      <c r="K774" s="657"/>
      <c r="L774" s="657"/>
      <c r="M774" s="657"/>
    </row>
    <row r="775" spans="1:13" ht="36">
      <c r="A775" s="701" t="s">
        <v>735</v>
      </c>
      <c r="B775" s="723">
        <f>1.05+2.85+3.85+1.85+1.08+2</f>
        <v>12.68</v>
      </c>
      <c r="C775" s="723">
        <v>0.7</v>
      </c>
      <c r="D775" s="723">
        <f t="shared" si="24"/>
        <v>8.8759999999999994</v>
      </c>
      <c r="E775" s="723"/>
      <c r="F775" s="723"/>
      <c r="G775" s="748">
        <f t="shared" si="25"/>
        <v>8.8759999999999994</v>
      </c>
      <c r="H775" s="657"/>
      <c r="I775" s="657"/>
      <c r="J775" s="657"/>
      <c r="K775" s="657"/>
      <c r="L775" s="657"/>
      <c r="M775" s="657"/>
    </row>
    <row r="776" spans="1:13" ht="36">
      <c r="A776" s="701" t="s">
        <v>736</v>
      </c>
      <c r="B776" s="723">
        <f>1.05+2.85+3.85+1.85+1.08+2</f>
        <v>12.68</v>
      </c>
      <c r="C776" s="723">
        <v>0.7</v>
      </c>
      <c r="D776" s="723">
        <f t="shared" si="24"/>
        <v>8.8759999999999994</v>
      </c>
      <c r="E776" s="723"/>
      <c r="F776" s="723"/>
      <c r="G776" s="748">
        <f t="shared" si="25"/>
        <v>8.8759999999999994</v>
      </c>
      <c r="H776" s="657"/>
      <c r="I776" s="657"/>
      <c r="J776" s="657"/>
      <c r="K776" s="657"/>
      <c r="L776" s="657"/>
      <c r="M776" s="657"/>
    </row>
    <row r="777" spans="1:13" ht="24">
      <c r="A777" s="701" t="s">
        <v>737</v>
      </c>
      <c r="B777" s="723">
        <f>1.85+1.65+1.85+1.65</f>
        <v>7</v>
      </c>
      <c r="C777" s="723">
        <v>0.7</v>
      </c>
      <c r="D777" s="723">
        <f t="shared" si="24"/>
        <v>4.8999999999999995</v>
      </c>
      <c r="E777" s="723"/>
      <c r="F777" s="723"/>
      <c r="G777" s="748">
        <f t="shared" si="25"/>
        <v>4.8999999999999995</v>
      </c>
      <c r="H777" s="657"/>
      <c r="I777" s="657"/>
      <c r="J777" s="657"/>
      <c r="K777" s="657"/>
      <c r="L777" s="657"/>
      <c r="M777" s="657"/>
    </row>
    <row r="778" spans="1:13" ht="24">
      <c r="A778" s="701" t="s">
        <v>738</v>
      </c>
      <c r="B778" s="723">
        <f>1.85+1.65+1.85+1.65</f>
        <v>7</v>
      </c>
      <c r="C778" s="723">
        <v>0.7</v>
      </c>
      <c r="D778" s="723">
        <f t="shared" si="24"/>
        <v>4.8999999999999995</v>
      </c>
      <c r="E778" s="723"/>
      <c r="F778" s="723"/>
      <c r="G778" s="748">
        <f t="shared" si="25"/>
        <v>4.8999999999999995</v>
      </c>
      <c r="H778" s="657"/>
      <c r="I778" s="657"/>
      <c r="J778" s="657"/>
      <c r="K778" s="657"/>
      <c r="L778" s="657"/>
      <c r="M778" s="657"/>
    </row>
    <row r="779" spans="1:13" ht="24">
      <c r="A779" s="701" t="s">
        <v>739</v>
      </c>
      <c r="B779" s="723">
        <f>1.35+1.35+2.35+2.35</f>
        <v>7.4</v>
      </c>
      <c r="C779" s="723">
        <v>0.7</v>
      </c>
      <c r="D779" s="723">
        <f t="shared" si="24"/>
        <v>5.18</v>
      </c>
      <c r="E779" s="723"/>
      <c r="F779" s="723"/>
      <c r="G779" s="748">
        <f t="shared" si="25"/>
        <v>5.18</v>
      </c>
      <c r="H779" s="657"/>
      <c r="I779" s="657"/>
      <c r="J779" s="657"/>
      <c r="K779" s="657"/>
      <c r="L779" s="657"/>
      <c r="M779" s="657"/>
    </row>
    <row r="780" spans="1:13" ht="24">
      <c r="A780" s="701" t="s">
        <v>740</v>
      </c>
      <c r="B780" s="723">
        <f>3.85+3.85+2+2</f>
        <v>11.7</v>
      </c>
      <c r="C780" s="723">
        <v>0.7</v>
      </c>
      <c r="D780" s="723">
        <f t="shared" si="24"/>
        <v>8.19</v>
      </c>
      <c r="E780" s="723"/>
      <c r="F780" s="723"/>
      <c r="G780" s="748">
        <f t="shared" si="25"/>
        <v>8.19</v>
      </c>
      <c r="H780" s="657"/>
      <c r="I780" s="657"/>
      <c r="J780" s="657"/>
      <c r="K780" s="657"/>
      <c r="L780" s="657"/>
      <c r="M780" s="657"/>
    </row>
    <row r="781" spans="1:13">
      <c r="A781" s="2312"/>
      <c r="B781" s="2283"/>
      <c r="C781" s="2283"/>
      <c r="D781" s="2283"/>
      <c r="E781" s="2283"/>
      <c r="F781" s="2283"/>
      <c r="G781" s="2284"/>
      <c r="H781" s="657"/>
      <c r="I781" s="657"/>
      <c r="J781" s="657"/>
      <c r="K781" s="657"/>
      <c r="L781" s="657"/>
      <c r="M781" s="657"/>
    </row>
    <row r="782" spans="1:13">
      <c r="A782" s="2201" t="s">
        <v>741</v>
      </c>
      <c r="B782" s="2202"/>
      <c r="C782" s="2202"/>
      <c r="D782" s="2202"/>
      <c r="E782" s="2202"/>
      <c r="F782" s="2202"/>
      <c r="G782" s="2203"/>
      <c r="H782" s="657"/>
      <c r="I782" s="657"/>
      <c r="J782" s="657"/>
      <c r="K782" s="657"/>
      <c r="L782" s="657"/>
      <c r="M782" s="657"/>
    </row>
    <row r="783" spans="1:13">
      <c r="A783" s="701" t="s">
        <v>742</v>
      </c>
      <c r="B783" s="723">
        <v>3.5</v>
      </c>
      <c r="C783" s="723">
        <v>2.8</v>
      </c>
      <c r="D783" s="723">
        <f t="shared" ref="D783:D794" si="26">B783*C783</f>
        <v>9.7999999999999989</v>
      </c>
      <c r="E783" s="747" t="s">
        <v>734</v>
      </c>
      <c r="F783" s="723">
        <f>0.8*2.1</f>
        <v>1.6800000000000002</v>
      </c>
      <c r="G783" s="748">
        <f t="shared" ref="G783:G794" si="27">D783-F783</f>
        <v>8.1199999999999992</v>
      </c>
      <c r="H783" s="657"/>
      <c r="I783" s="657"/>
      <c r="J783" s="657"/>
      <c r="K783" s="657"/>
      <c r="L783" s="657"/>
      <c r="M783" s="657"/>
    </row>
    <row r="784" spans="1:13" ht="36">
      <c r="A784" s="701" t="s">
        <v>743</v>
      </c>
      <c r="B784" s="723">
        <f>3.15+3.5</f>
        <v>6.65</v>
      </c>
      <c r="C784" s="723">
        <v>2.8</v>
      </c>
      <c r="D784" s="723">
        <f t="shared" si="26"/>
        <v>18.62</v>
      </c>
      <c r="E784" s="747" t="s">
        <v>744</v>
      </c>
      <c r="F784" s="723">
        <f>(0.8*2.1)+(1.1*0.6*2)</f>
        <v>3</v>
      </c>
      <c r="G784" s="748">
        <f t="shared" si="27"/>
        <v>15.620000000000001</v>
      </c>
      <c r="H784" s="657"/>
      <c r="I784" s="657"/>
      <c r="J784" s="657"/>
      <c r="K784" s="657"/>
      <c r="L784" s="657"/>
      <c r="M784" s="657"/>
    </row>
    <row r="785" spans="1:13">
      <c r="A785" s="701" t="s">
        <v>745</v>
      </c>
      <c r="B785" s="723">
        <f>3.35+3.15</f>
        <v>6.5</v>
      </c>
      <c r="C785" s="723">
        <v>2.8</v>
      </c>
      <c r="D785" s="723">
        <f t="shared" si="26"/>
        <v>18.2</v>
      </c>
      <c r="E785" s="723"/>
      <c r="F785" s="723"/>
      <c r="G785" s="748">
        <f t="shared" si="27"/>
        <v>18.2</v>
      </c>
      <c r="H785" s="657"/>
      <c r="I785" s="657"/>
      <c r="J785" s="657"/>
      <c r="K785" s="657"/>
      <c r="L785" s="657"/>
      <c r="M785" s="657"/>
    </row>
    <row r="786" spans="1:13" ht="24">
      <c r="A786" s="701" t="s">
        <v>746</v>
      </c>
      <c r="B786" s="723">
        <v>8</v>
      </c>
      <c r="C786" s="723">
        <v>2.8</v>
      </c>
      <c r="D786" s="723">
        <f t="shared" si="26"/>
        <v>22.4</v>
      </c>
      <c r="E786" s="747" t="s">
        <v>747</v>
      </c>
      <c r="F786" s="723">
        <f>(2.2*1.1)+(0.8*2.1)</f>
        <v>4.1000000000000005</v>
      </c>
      <c r="G786" s="748">
        <f t="shared" si="27"/>
        <v>18.299999999999997</v>
      </c>
      <c r="H786" s="657"/>
      <c r="I786" s="657"/>
      <c r="J786" s="657"/>
      <c r="K786" s="657"/>
      <c r="L786" s="657"/>
      <c r="M786" s="657"/>
    </row>
    <row r="787" spans="1:13" ht="24">
      <c r="A787" s="701" t="s">
        <v>746</v>
      </c>
      <c r="B787" s="723">
        <v>8</v>
      </c>
      <c r="C787" s="723">
        <v>2.8</v>
      </c>
      <c r="D787" s="723">
        <f t="shared" si="26"/>
        <v>22.4</v>
      </c>
      <c r="E787" s="723"/>
      <c r="F787" s="723"/>
      <c r="G787" s="748">
        <f t="shared" si="27"/>
        <v>22.4</v>
      </c>
      <c r="H787" s="657"/>
      <c r="I787" s="657"/>
      <c r="J787" s="657"/>
      <c r="K787" s="657"/>
      <c r="L787" s="657"/>
      <c r="M787" s="657"/>
    </row>
    <row r="788" spans="1:13">
      <c r="A788" s="701" t="s">
        <v>748</v>
      </c>
      <c r="B788" s="723">
        <v>3.5</v>
      </c>
      <c r="C788" s="723">
        <v>2.8</v>
      </c>
      <c r="D788" s="723">
        <f t="shared" si="26"/>
        <v>9.7999999999999989</v>
      </c>
      <c r="E788" s="747" t="s">
        <v>749</v>
      </c>
      <c r="F788" s="723">
        <f>2.2*1.1</f>
        <v>2.4200000000000004</v>
      </c>
      <c r="G788" s="748">
        <f t="shared" si="27"/>
        <v>7.379999999999999</v>
      </c>
      <c r="H788" s="657"/>
      <c r="I788" s="657"/>
      <c r="J788" s="657"/>
      <c r="K788" s="657"/>
      <c r="L788" s="657"/>
      <c r="M788" s="657"/>
    </row>
    <row r="789" spans="1:13">
      <c r="A789" s="701" t="s">
        <v>750</v>
      </c>
      <c r="B789" s="723">
        <f>2.55+2</f>
        <v>4.55</v>
      </c>
      <c r="C789" s="723">
        <v>2.8</v>
      </c>
      <c r="D789" s="723">
        <f t="shared" si="26"/>
        <v>12.739999999999998</v>
      </c>
      <c r="E789" s="723"/>
      <c r="F789" s="723"/>
      <c r="G789" s="748">
        <f t="shared" si="27"/>
        <v>12.739999999999998</v>
      </c>
      <c r="H789" s="657"/>
      <c r="I789" s="657"/>
      <c r="J789" s="657"/>
      <c r="K789" s="657"/>
      <c r="L789" s="657"/>
      <c r="M789" s="657"/>
    </row>
    <row r="790" spans="1:13" ht="24">
      <c r="A790" s="806" t="s">
        <v>751</v>
      </c>
      <c r="B790" s="807">
        <v>4</v>
      </c>
      <c r="C790" s="784">
        <v>2.8</v>
      </c>
      <c r="D790" s="784">
        <f t="shared" si="26"/>
        <v>11.2</v>
      </c>
      <c r="E790" s="808" t="s">
        <v>752</v>
      </c>
      <c r="F790" s="784">
        <f>(1.3*2.1)+(2.3*1.1)</f>
        <v>5.26</v>
      </c>
      <c r="G790" s="809">
        <f t="shared" si="27"/>
        <v>5.9399999999999995</v>
      </c>
      <c r="H790" s="657"/>
      <c r="I790" s="657"/>
      <c r="J790" s="657"/>
      <c r="K790" s="657"/>
      <c r="L790" s="657"/>
      <c r="M790" s="657"/>
    </row>
    <row r="791" spans="1:13" ht="36">
      <c r="A791" s="806" t="s">
        <v>753</v>
      </c>
      <c r="B791" s="807">
        <f>2.15+1.35+1.5</f>
        <v>5</v>
      </c>
      <c r="C791" s="784">
        <v>5.23</v>
      </c>
      <c r="D791" s="784">
        <f t="shared" si="26"/>
        <v>26.150000000000002</v>
      </c>
      <c r="E791" s="808" t="s">
        <v>754</v>
      </c>
      <c r="F791" s="784">
        <f>1.2*1.1+(0.8*2.1)+(0.9*2.1)</f>
        <v>4.8900000000000006</v>
      </c>
      <c r="G791" s="809">
        <f t="shared" si="27"/>
        <v>21.26</v>
      </c>
      <c r="H791" s="657"/>
      <c r="I791" s="657"/>
      <c r="J791" s="657"/>
      <c r="K791" s="657"/>
      <c r="L791" s="657"/>
      <c r="M791" s="657"/>
    </row>
    <row r="792" spans="1:13">
      <c r="A792" s="806" t="s">
        <v>755</v>
      </c>
      <c r="B792" s="807">
        <v>1.5</v>
      </c>
      <c r="C792" s="784">
        <v>5.23</v>
      </c>
      <c r="D792" s="784">
        <f t="shared" si="26"/>
        <v>7.8450000000000006</v>
      </c>
      <c r="E792" s="784"/>
      <c r="F792" s="784"/>
      <c r="G792" s="809">
        <f t="shared" si="27"/>
        <v>7.8450000000000006</v>
      </c>
      <c r="H792" s="657"/>
      <c r="I792" s="657"/>
      <c r="J792" s="657"/>
      <c r="K792" s="657"/>
      <c r="L792" s="657"/>
      <c r="M792" s="657"/>
    </row>
    <row r="793" spans="1:13" ht="48">
      <c r="A793" s="806" t="s">
        <v>756</v>
      </c>
      <c r="B793" s="807">
        <f>4.6+9.6</f>
        <v>14.2</v>
      </c>
      <c r="C793" s="784">
        <v>4.7300000000000004</v>
      </c>
      <c r="D793" s="784">
        <f t="shared" si="26"/>
        <v>67.165999999999997</v>
      </c>
      <c r="E793" s="808" t="s">
        <v>757</v>
      </c>
      <c r="F793" s="784">
        <f>2.3*1.1*2+(0.8*2.1)+(1*2.1)</f>
        <v>8.84</v>
      </c>
      <c r="G793" s="809">
        <f t="shared" si="27"/>
        <v>58.325999999999993</v>
      </c>
      <c r="H793" s="657"/>
      <c r="I793" s="657"/>
      <c r="J793" s="657"/>
      <c r="K793" s="657"/>
      <c r="L793" s="657"/>
      <c r="M793" s="657"/>
    </row>
    <row r="794" spans="1:13">
      <c r="A794" s="806" t="s">
        <v>758</v>
      </c>
      <c r="B794" s="807">
        <v>4.5999999999999996</v>
      </c>
      <c r="C794" s="784">
        <v>1.93</v>
      </c>
      <c r="D794" s="784">
        <f t="shared" si="26"/>
        <v>8.8779999999999983</v>
      </c>
      <c r="E794" s="784"/>
      <c r="F794" s="784"/>
      <c r="G794" s="809">
        <f t="shared" si="27"/>
        <v>8.8779999999999983</v>
      </c>
      <c r="H794" s="657"/>
      <c r="I794" s="657"/>
      <c r="J794" s="657"/>
      <c r="K794" s="657"/>
      <c r="L794" s="657"/>
      <c r="M794" s="657"/>
    </row>
    <row r="795" spans="1:13">
      <c r="A795" s="2312"/>
      <c r="B795" s="2283"/>
      <c r="C795" s="2283"/>
      <c r="D795" s="2283"/>
      <c r="E795" s="2283"/>
      <c r="F795" s="2283"/>
      <c r="G795" s="2284"/>
      <c r="H795" s="657"/>
      <c r="I795" s="657"/>
      <c r="J795" s="657"/>
      <c r="K795" s="657"/>
      <c r="L795" s="657"/>
      <c r="M795" s="657"/>
    </row>
    <row r="796" spans="1:13">
      <c r="A796" s="2201" t="s">
        <v>759</v>
      </c>
      <c r="B796" s="2202"/>
      <c r="C796" s="2202"/>
      <c r="D796" s="2202"/>
      <c r="E796" s="2202"/>
      <c r="F796" s="2202"/>
      <c r="G796" s="2203"/>
      <c r="H796" s="657"/>
      <c r="I796" s="657"/>
      <c r="J796" s="657"/>
      <c r="K796" s="657"/>
      <c r="L796" s="657"/>
      <c r="M796" s="657"/>
    </row>
    <row r="797" spans="1:13" ht="36">
      <c r="A797" s="701" t="s">
        <v>760</v>
      </c>
      <c r="B797" s="752">
        <f>7.5+4.65</f>
        <v>12.15</v>
      </c>
      <c r="C797" s="723">
        <v>2.8</v>
      </c>
      <c r="D797" s="723">
        <f t="shared" ref="D797:D805" si="28">B797*C797</f>
        <v>34.019999999999996</v>
      </c>
      <c r="E797" s="747" t="s">
        <v>761</v>
      </c>
      <c r="F797" s="723">
        <f>(1.6*2.1)+(3*1.1*0.6)</f>
        <v>5.34</v>
      </c>
      <c r="G797" s="748">
        <f t="shared" ref="G797:G805" si="29">D797-F797</f>
        <v>28.679999999999996</v>
      </c>
      <c r="H797" s="657"/>
      <c r="I797" s="657"/>
      <c r="J797" s="657"/>
      <c r="K797" s="657"/>
      <c r="L797" s="657"/>
      <c r="M797" s="657"/>
    </row>
    <row r="798" spans="1:13" ht="24">
      <c r="A798" s="701" t="s">
        <v>760</v>
      </c>
      <c r="B798" s="752">
        <f>7.5+4.65</f>
        <v>12.15</v>
      </c>
      <c r="C798" s="723">
        <v>2.8</v>
      </c>
      <c r="D798" s="723">
        <f t="shared" si="28"/>
        <v>34.019999999999996</v>
      </c>
      <c r="E798" s="723"/>
      <c r="F798" s="723"/>
      <c r="G798" s="748">
        <f t="shared" si="29"/>
        <v>34.019999999999996</v>
      </c>
      <c r="H798" s="657"/>
      <c r="I798" s="657"/>
      <c r="J798" s="657"/>
      <c r="K798" s="657"/>
      <c r="L798" s="657"/>
      <c r="M798" s="657"/>
    </row>
    <row r="799" spans="1:13" ht="36">
      <c r="A799" s="701" t="s">
        <v>762</v>
      </c>
      <c r="B799" s="805">
        <f>8.85+10.35</f>
        <v>19.2</v>
      </c>
      <c r="C799" s="723">
        <v>2.8</v>
      </c>
      <c r="D799" s="723">
        <f t="shared" si="28"/>
        <v>53.76</v>
      </c>
      <c r="E799" s="747" t="s">
        <v>763</v>
      </c>
      <c r="F799" s="723">
        <f>2.3*1.1*5</f>
        <v>12.649999999999999</v>
      </c>
      <c r="G799" s="748">
        <f t="shared" si="29"/>
        <v>41.11</v>
      </c>
      <c r="H799" s="657"/>
      <c r="I799" s="657"/>
      <c r="J799" s="657"/>
      <c r="K799" s="657"/>
      <c r="L799" s="657"/>
      <c r="M799" s="657"/>
    </row>
    <row r="800" spans="1:13" ht="24">
      <c r="A800" s="701" t="s">
        <v>764</v>
      </c>
      <c r="B800" s="805">
        <f>4.65+4</f>
        <v>8.65</v>
      </c>
      <c r="C800" s="723">
        <v>2.8</v>
      </c>
      <c r="D800" s="723">
        <f t="shared" si="28"/>
        <v>24.22</v>
      </c>
      <c r="E800" s="723"/>
      <c r="F800" s="723"/>
      <c r="G800" s="748">
        <f t="shared" si="29"/>
        <v>24.22</v>
      </c>
      <c r="H800" s="657"/>
      <c r="I800" s="657"/>
      <c r="J800" s="657"/>
      <c r="K800" s="657"/>
      <c r="L800" s="657"/>
      <c r="M800" s="657"/>
    </row>
    <row r="801" spans="1:13">
      <c r="A801" s="701" t="s">
        <v>765</v>
      </c>
      <c r="B801" s="805">
        <v>5.5</v>
      </c>
      <c r="C801" s="723">
        <v>2.8</v>
      </c>
      <c r="D801" s="723">
        <f t="shared" si="28"/>
        <v>15.399999999999999</v>
      </c>
      <c r="E801" s="747" t="s">
        <v>766</v>
      </c>
      <c r="F801" s="723">
        <f>2.3*1.1</f>
        <v>2.5299999999999998</v>
      </c>
      <c r="G801" s="748">
        <f t="shared" si="29"/>
        <v>12.87</v>
      </c>
      <c r="H801" s="657"/>
      <c r="I801" s="657"/>
      <c r="J801" s="657"/>
      <c r="K801" s="657"/>
      <c r="L801" s="657"/>
      <c r="M801" s="657"/>
    </row>
    <row r="802" spans="1:13">
      <c r="A802" s="701" t="s">
        <v>767</v>
      </c>
      <c r="B802" s="805">
        <v>4.5</v>
      </c>
      <c r="C802" s="723">
        <v>2.8</v>
      </c>
      <c r="D802" s="723">
        <f t="shared" si="28"/>
        <v>12.6</v>
      </c>
      <c r="E802" s="723"/>
      <c r="F802" s="723"/>
      <c r="G802" s="748">
        <f t="shared" si="29"/>
        <v>12.6</v>
      </c>
      <c r="H802" s="657"/>
      <c r="I802" s="657"/>
      <c r="J802" s="657"/>
      <c r="K802" s="657"/>
      <c r="L802" s="657"/>
      <c r="M802" s="657"/>
    </row>
    <row r="803" spans="1:13">
      <c r="A803" s="806" t="s">
        <v>768</v>
      </c>
      <c r="B803" s="807">
        <v>5</v>
      </c>
      <c r="C803" s="784">
        <v>2.8</v>
      </c>
      <c r="D803" s="784">
        <f t="shared" si="28"/>
        <v>14</v>
      </c>
      <c r="E803" s="784"/>
      <c r="F803" s="784"/>
      <c r="G803" s="809">
        <f t="shared" si="29"/>
        <v>14</v>
      </c>
      <c r="H803" s="657"/>
      <c r="I803" s="657"/>
      <c r="J803" s="657"/>
      <c r="K803" s="657"/>
      <c r="L803" s="657"/>
      <c r="M803" s="657"/>
    </row>
    <row r="804" spans="1:13">
      <c r="A804" s="806" t="s">
        <v>769</v>
      </c>
      <c r="B804" s="807">
        <v>9</v>
      </c>
      <c r="C804" s="784">
        <v>2.8</v>
      </c>
      <c r="D804" s="784">
        <f t="shared" si="28"/>
        <v>25.2</v>
      </c>
      <c r="E804" s="784"/>
      <c r="F804" s="784"/>
      <c r="G804" s="809">
        <f t="shared" si="29"/>
        <v>25.2</v>
      </c>
      <c r="H804" s="657"/>
      <c r="I804" s="657"/>
      <c r="J804" s="657"/>
      <c r="K804" s="657"/>
      <c r="L804" s="657"/>
      <c r="M804" s="657"/>
    </row>
    <row r="805" spans="1:13" ht="24">
      <c r="A805" s="806" t="s">
        <v>770</v>
      </c>
      <c r="B805" s="807">
        <v>6.15</v>
      </c>
      <c r="C805" s="784">
        <v>5.23</v>
      </c>
      <c r="D805" s="784">
        <f t="shared" si="28"/>
        <v>32.164500000000004</v>
      </c>
      <c r="E805" s="808" t="s">
        <v>884</v>
      </c>
      <c r="F805" s="784">
        <f>0.8*2.1*4</f>
        <v>6.7200000000000006</v>
      </c>
      <c r="G805" s="809">
        <f t="shared" si="29"/>
        <v>25.444500000000005</v>
      </c>
      <c r="H805" s="657"/>
      <c r="I805" s="657"/>
      <c r="J805" s="657"/>
      <c r="K805" s="657"/>
      <c r="L805" s="657"/>
      <c r="M805" s="657"/>
    </row>
    <row r="806" spans="1:13">
      <c r="A806" s="2312"/>
      <c r="B806" s="2283"/>
      <c r="C806" s="2283"/>
      <c r="D806" s="2283"/>
      <c r="E806" s="2283"/>
      <c r="F806" s="2283"/>
      <c r="G806" s="2284"/>
      <c r="H806" s="657"/>
      <c r="I806" s="657"/>
      <c r="J806" s="657"/>
      <c r="K806" s="657"/>
      <c r="L806" s="657"/>
      <c r="M806" s="657"/>
    </row>
    <row r="807" spans="1:13">
      <c r="A807" s="2273" t="s">
        <v>2063</v>
      </c>
      <c r="B807" s="2190"/>
      <c r="C807" s="2190"/>
      <c r="D807" s="2190"/>
      <c r="E807" s="2190"/>
      <c r="F807" s="2190"/>
      <c r="G807" s="2191"/>
      <c r="H807" s="657"/>
      <c r="I807" s="923"/>
      <c r="J807" s="657"/>
      <c r="K807" s="657"/>
      <c r="L807" s="657"/>
      <c r="M807" s="657"/>
    </row>
    <row r="808" spans="1:13">
      <c r="A808" s="2332"/>
      <c r="B808" s="2333"/>
      <c r="C808" s="2195" t="s">
        <v>731</v>
      </c>
      <c r="D808" s="2196"/>
      <c r="E808" s="2196"/>
      <c r="F808" s="2197"/>
      <c r="G808" s="748"/>
      <c r="H808" s="657"/>
      <c r="I808" s="657"/>
      <c r="J808" s="657"/>
      <c r="K808" s="657"/>
      <c r="L808" s="657"/>
      <c r="M808" s="657"/>
    </row>
    <row r="809" spans="1:13">
      <c r="A809" s="2309"/>
      <c r="B809" s="2334"/>
      <c r="C809" s="2198" t="s">
        <v>307</v>
      </c>
      <c r="D809" s="2199"/>
      <c r="E809" s="2199"/>
      <c r="F809" s="2200"/>
      <c r="G809" s="811">
        <f>ROUNDUP(G773+G774+G775+G776+G777+G778+G779+G780,2)</f>
        <v>48.91</v>
      </c>
      <c r="H809" s="657"/>
      <c r="I809" s="657"/>
      <c r="J809" s="657"/>
      <c r="K809" s="657"/>
      <c r="L809" s="657"/>
      <c r="M809" s="657"/>
    </row>
    <row r="810" spans="1:13">
      <c r="A810" s="2309"/>
      <c r="B810" s="2334"/>
      <c r="C810" s="2195" t="s">
        <v>741</v>
      </c>
      <c r="D810" s="2196"/>
      <c r="E810" s="2196"/>
      <c r="F810" s="2197"/>
      <c r="G810" s="812"/>
      <c r="H810" s="657"/>
      <c r="I810" s="657"/>
      <c r="J810" s="657"/>
      <c r="K810" s="657"/>
      <c r="L810" s="657"/>
      <c r="M810" s="657"/>
    </row>
    <row r="811" spans="1:13">
      <c r="A811" s="2309"/>
      <c r="B811" s="2334"/>
      <c r="C811" s="2198" t="s">
        <v>307</v>
      </c>
      <c r="D811" s="2199"/>
      <c r="E811" s="2199"/>
      <c r="F811" s="2200"/>
      <c r="G811" s="811">
        <f>ROUNDUP(G783+G784+G785+G786+G787+G788+G789+G790+G791+G792+G793+G794,2)</f>
        <v>205.01</v>
      </c>
      <c r="H811" s="657"/>
      <c r="I811" s="657"/>
      <c r="J811" s="657"/>
      <c r="K811" s="657"/>
      <c r="L811" s="657"/>
      <c r="M811" s="657"/>
    </row>
    <row r="812" spans="1:13">
      <c r="A812" s="2309"/>
      <c r="B812" s="2334"/>
      <c r="C812" s="2195" t="s">
        <v>759</v>
      </c>
      <c r="D812" s="2196"/>
      <c r="E812" s="2196"/>
      <c r="F812" s="2197"/>
      <c r="G812" s="812"/>
      <c r="H812" s="657"/>
      <c r="I812" s="657"/>
      <c r="J812" s="657"/>
      <c r="K812" s="657"/>
      <c r="L812" s="657"/>
      <c r="M812" s="657"/>
    </row>
    <row r="813" spans="1:13">
      <c r="A813" s="2335"/>
      <c r="B813" s="2336"/>
      <c r="C813" s="2198" t="s">
        <v>307</v>
      </c>
      <c r="D813" s="2199"/>
      <c r="E813" s="2199"/>
      <c r="F813" s="2200"/>
      <c r="G813" s="811">
        <f>ROUNDUP(G797+G803+G804+G798+G799+G801+G802+G805,2)</f>
        <v>193.92999999999998</v>
      </c>
      <c r="H813" s="657"/>
      <c r="I813" s="657"/>
      <c r="J813" s="657"/>
      <c r="K813" s="657"/>
      <c r="L813" s="657"/>
      <c r="M813" s="657"/>
    </row>
    <row r="814" spans="1:13" ht="15.75" thickBot="1">
      <c r="A814" s="2318" t="s">
        <v>340</v>
      </c>
      <c r="B814" s="2319"/>
      <c r="C814" s="2319"/>
      <c r="D814" s="2319"/>
      <c r="E814" s="2319"/>
      <c r="F814" s="2320"/>
      <c r="G814" s="832">
        <f>ROUNDUP(G809+G811+G813,2)</f>
        <v>447.85</v>
      </c>
      <c r="H814" s="657"/>
      <c r="I814" s="657"/>
      <c r="J814" s="657"/>
      <c r="K814" s="657"/>
      <c r="L814" s="657"/>
      <c r="M814" s="657"/>
    </row>
    <row r="815" spans="1:13" ht="15.75" thickBot="1">
      <c r="A815" s="852"/>
      <c r="B815" s="853"/>
      <c r="C815" s="853"/>
      <c r="D815" s="853"/>
      <c r="E815" s="853"/>
      <c r="F815" s="853"/>
      <c r="G815" s="854"/>
      <c r="H815" s="657"/>
      <c r="I815" s="657"/>
      <c r="J815" s="657"/>
      <c r="K815" s="657"/>
      <c r="L815" s="657"/>
      <c r="M815" s="657"/>
    </row>
    <row r="816" spans="1:13" ht="15.75" thickBot="1">
      <c r="A816" s="671" t="s">
        <v>88</v>
      </c>
      <c r="B816" s="2180" t="s">
        <v>885</v>
      </c>
      <c r="C816" s="2181"/>
      <c r="D816" s="2181"/>
      <c r="E816" s="2181"/>
      <c r="F816" s="2181"/>
      <c r="G816" s="2182"/>
      <c r="H816" s="657"/>
      <c r="I816" s="657"/>
      <c r="J816" s="657"/>
      <c r="K816" s="657"/>
      <c r="L816" s="657"/>
      <c r="M816" s="657"/>
    </row>
    <row r="817" spans="1:13">
      <c r="A817" s="2213" t="s">
        <v>882</v>
      </c>
      <c r="B817" s="2214"/>
      <c r="C817" s="2214"/>
      <c r="D817" s="2214"/>
      <c r="E817" s="2214"/>
      <c r="F817" s="2214"/>
      <c r="G817" s="2215"/>
      <c r="H817" s="657"/>
      <c r="I817" s="657"/>
      <c r="J817" s="657"/>
      <c r="K817" s="657"/>
      <c r="L817" s="657"/>
      <c r="M817" s="657"/>
    </row>
    <row r="818" spans="1:13">
      <c r="A818" s="2241" t="s">
        <v>883</v>
      </c>
      <c r="B818" s="2228"/>
      <c r="C818" s="2228"/>
      <c r="D818" s="2228"/>
      <c r="E818" s="2228"/>
      <c r="F818" s="2228"/>
      <c r="G818" s="2229"/>
      <c r="H818" s="657"/>
      <c r="I818" s="657"/>
      <c r="J818" s="657"/>
      <c r="K818" s="657"/>
      <c r="L818" s="657"/>
      <c r="M818" s="657"/>
    </row>
    <row r="819" spans="1:13">
      <c r="A819" s="686" t="s">
        <v>322</v>
      </c>
      <c r="B819" s="687" t="s">
        <v>322</v>
      </c>
      <c r="C819" s="687" t="s">
        <v>332</v>
      </c>
      <c r="D819" s="687" t="s">
        <v>333</v>
      </c>
      <c r="E819" s="687" t="s">
        <v>334</v>
      </c>
      <c r="F819" s="687" t="s">
        <v>335</v>
      </c>
      <c r="G819" s="745" t="s">
        <v>336</v>
      </c>
      <c r="H819" s="657"/>
      <c r="I819" s="657"/>
      <c r="J819" s="657"/>
      <c r="K819" s="657"/>
      <c r="L819" s="657"/>
      <c r="M819" s="657"/>
    </row>
    <row r="820" spans="1:13">
      <c r="A820" s="2201" t="s">
        <v>731</v>
      </c>
      <c r="B820" s="2202"/>
      <c r="C820" s="2202"/>
      <c r="D820" s="2202"/>
      <c r="E820" s="2202"/>
      <c r="F820" s="2202"/>
      <c r="G820" s="2203"/>
      <c r="H820" s="657"/>
      <c r="I820" s="657"/>
      <c r="J820" s="657"/>
      <c r="K820" s="657"/>
      <c r="L820" s="657"/>
      <c r="M820" s="657"/>
    </row>
    <row r="821" spans="1:13">
      <c r="A821" s="701" t="s">
        <v>732</v>
      </c>
      <c r="B821" s="723">
        <v>1.5</v>
      </c>
      <c r="C821" s="723">
        <v>2.8</v>
      </c>
      <c r="D821" s="723">
        <f t="shared" ref="D821:D828" si="30">B821*C821</f>
        <v>4.1999999999999993</v>
      </c>
      <c r="E821" s="723"/>
      <c r="F821" s="723"/>
      <c r="G821" s="748">
        <f t="shared" ref="G821:G828" si="31">D821-F821</f>
        <v>4.1999999999999993</v>
      </c>
      <c r="H821" s="657"/>
      <c r="I821" s="657"/>
      <c r="J821" s="657"/>
      <c r="K821" s="657"/>
      <c r="L821" s="657"/>
      <c r="M821" s="657"/>
    </row>
    <row r="822" spans="1:13">
      <c r="A822" s="701" t="s">
        <v>733</v>
      </c>
      <c r="B822" s="805">
        <v>1.95</v>
      </c>
      <c r="C822" s="723">
        <v>2.8</v>
      </c>
      <c r="D822" s="723">
        <f t="shared" si="30"/>
        <v>5.46</v>
      </c>
      <c r="E822" s="747" t="s">
        <v>734</v>
      </c>
      <c r="F822" s="723">
        <f>0.8*2.1</f>
        <v>1.6800000000000002</v>
      </c>
      <c r="G822" s="748">
        <f t="shared" si="31"/>
        <v>3.78</v>
      </c>
      <c r="H822" s="657"/>
      <c r="I822" s="657"/>
      <c r="J822" s="657"/>
      <c r="K822" s="657"/>
      <c r="L822" s="657"/>
      <c r="M822" s="657"/>
    </row>
    <row r="823" spans="1:13" ht="36">
      <c r="A823" s="701" t="s">
        <v>735</v>
      </c>
      <c r="B823" s="723">
        <f>1.05+2.85+3.85+1.85+1.08+2</f>
        <v>12.68</v>
      </c>
      <c r="C823" s="723">
        <v>0.7</v>
      </c>
      <c r="D823" s="723">
        <f t="shared" si="30"/>
        <v>8.8759999999999994</v>
      </c>
      <c r="E823" s="723"/>
      <c r="F823" s="723"/>
      <c r="G823" s="748">
        <f t="shared" si="31"/>
        <v>8.8759999999999994</v>
      </c>
      <c r="H823" s="657"/>
      <c r="I823" s="657"/>
      <c r="J823" s="657"/>
      <c r="K823" s="657"/>
      <c r="L823" s="657"/>
      <c r="M823" s="657"/>
    </row>
    <row r="824" spans="1:13" ht="36">
      <c r="A824" s="701" t="s">
        <v>736</v>
      </c>
      <c r="B824" s="723">
        <f>1.05+2.85+3.85+1.85+1.08+2</f>
        <v>12.68</v>
      </c>
      <c r="C824" s="723">
        <v>0.7</v>
      </c>
      <c r="D824" s="723">
        <f t="shared" si="30"/>
        <v>8.8759999999999994</v>
      </c>
      <c r="E824" s="723"/>
      <c r="F824" s="723"/>
      <c r="G824" s="748">
        <f t="shared" si="31"/>
        <v>8.8759999999999994</v>
      </c>
      <c r="H824" s="657"/>
      <c r="I824" s="657"/>
      <c r="J824" s="657"/>
      <c r="K824" s="657"/>
      <c r="L824" s="657"/>
      <c r="M824" s="657"/>
    </row>
    <row r="825" spans="1:13" ht="24">
      <c r="A825" s="701" t="s">
        <v>737</v>
      </c>
      <c r="B825" s="723">
        <f>1.85+1.65+1.85+1.65</f>
        <v>7</v>
      </c>
      <c r="C825" s="723">
        <v>0.7</v>
      </c>
      <c r="D825" s="723">
        <f t="shared" si="30"/>
        <v>4.8999999999999995</v>
      </c>
      <c r="E825" s="723"/>
      <c r="F825" s="723"/>
      <c r="G825" s="748">
        <f t="shared" si="31"/>
        <v>4.8999999999999995</v>
      </c>
      <c r="H825" s="657"/>
      <c r="I825" s="657"/>
      <c r="J825" s="657"/>
      <c r="K825" s="657"/>
      <c r="L825" s="657"/>
      <c r="M825" s="657"/>
    </row>
    <row r="826" spans="1:13" ht="24">
      <c r="A826" s="701" t="s">
        <v>738</v>
      </c>
      <c r="B826" s="723">
        <f>1.85+1.65+1.85+1.65</f>
        <v>7</v>
      </c>
      <c r="C826" s="723">
        <v>0.7</v>
      </c>
      <c r="D826" s="723">
        <f t="shared" si="30"/>
        <v>4.8999999999999995</v>
      </c>
      <c r="E826" s="723"/>
      <c r="F826" s="723"/>
      <c r="G826" s="748">
        <f t="shared" si="31"/>
        <v>4.8999999999999995</v>
      </c>
      <c r="H826" s="657"/>
      <c r="I826" s="657"/>
      <c r="J826" s="657"/>
      <c r="K826" s="657"/>
      <c r="L826" s="657"/>
      <c r="M826" s="657"/>
    </row>
    <row r="827" spans="1:13" ht="24">
      <c r="A827" s="701" t="s">
        <v>739</v>
      </c>
      <c r="B827" s="723">
        <f>1.35+1.35+2.35+2.35</f>
        <v>7.4</v>
      </c>
      <c r="C827" s="723">
        <v>0.7</v>
      </c>
      <c r="D827" s="723">
        <f t="shared" si="30"/>
        <v>5.18</v>
      </c>
      <c r="E827" s="723"/>
      <c r="F827" s="723"/>
      <c r="G827" s="748">
        <f t="shared" si="31"/>
        <v>5.18</v>
      </c>
      <c r="H827" s="657"/>
      <c r="I827" s="657"/>
      <c r="J827" s="657"/>
      <c r="K827" s="657"/>
      <c r="L827" s="657"/>
      <c r="M827" s="657"/>
    </row>
    <row r="828" spans="1:13" ht="24">
      <c r="A828" s="701" t="s">
        <v>740</v>
      </c>
      <c r="B828" s="723">
        <f>3.85+3.85+2+2</f>
        <v>11.7</v>
      </c>
      <c r="C828" s="723">
        <v>0.7</v>
      </c>
      <c r="D828" s="723">
        <f t="shared" si="30"/>
        <v>8.19</v>
      </c>
      <c r="E828" s="723"/>
      <c r="F828" s="723"/>
      <c r="G828" s="748">
        <f t="shared" si="31"/>
        <v>8.19</v>
      </c>
      <c r="H828" s="657"/>
      <c r="I828" s="657"/>
      <c r="J828" s="657"/>
      <c r="K828" s="657"/>
      <c r="L828" s="657"/>
      <c r="M828" s="657"/>
    </row>
    <row r="829" spans="1:13">
      <c r="A829" s="2312"/>
      <c r="B829" s="2283"/>
      <c r="C829" s="2283"/>
      <c r="D829" s="2283"/>
      <c r="E829" s="2283"/>
      <c r="F829" s="2283"/>
      <c r="G829" s="2284"/>
      <c r="H829" s="657"/>
      <c r="I829" s="657"/>
      <c r="J829" s="657"/>
      <c r="K829" s="657"/>
      <c r="L829" s="657"/>
      <c r="M829" s="657"/>
    </row>
    <row r="830" spans="1:13">
      <c r="A830" s="2201" t="s">
        <v>741</v>
      </c>
      <c r="B830" s="2202"/>
      <c r="C830" s="2202"/>
      <c r="D830" s="2202"/>
      <c r="E830" s="2202"/>
      <c r="F830" s="2202"/>
      <c r="G830" s="2203"/>
      <c r="H830" s="657"/>
      <c r="I830" s="657"/>
      <c r="J830" s="657"/>
      <c r="K830" s="657"/>
      <c r="L830" s="657"/>
      <c r="M830" s="657"/>
    </row>
    <row r="831" spans="1:13">
      <c r="A831" s="701" t="s">
        <v>742</v>
      </c>
      <c r="B831" s="723">
        <v>3.5</v>
      </c>
      <c r="C831" s="723">
        <v>2.8</v>
      </c>
      <c r="D831" s="723">
        <f t="shared" ref="D831:D842" si="32">B831*C831</f>
        <v>9.7999999999999989</v>
      </c>
      <c r="E831" s="747" t="s">
        <v>734</v>
      </c>
      <c r="F831" s="723">
        <f>0.8*2.1</f>
        <v>1.6800000000000002</v>
      </c>
      <c r="G831" s="748">
        <f t="shared" ref="G831:G842" si="33">D831-F831</f>
        <v>8.1199999999999992</v>
      </c>
      <c r="H831" s="657"/>
      <c r="I831" s="657"/>
      <c r="J831" s="657"/>
      <c r="K831" s="657"/>
      <c r="L831" s="657"/>
      <c r="M831" s="657"/>
    </row>
    <row r="832" spans="1:13" ht="36">
      <c r="A832" s="701" t="s">
        <v>743</v>
      </c>
      <c r="B832" s="723">
        <f>3.15+3.5</f>
        <v>6.65</v>
      </c>
      <c r="C832" s="723">
        <v>2.8</v>
      </c>
      <c r="D832" s="723">
        <f t="shared" si="32"/>
        <v>18.62</v>
      </c>
      <c r="E832" s="747" t="s">
        <v>744</v>
      </c>
      <c r="F832" s="723">
        <f>(0.8*2.1)+(1.1*0.6*2)</f>
        <v>3</v>
      </c>
      <c r="G832" s="748">
        <f t="shared" si="33"/>
        <v>15.620000000000001</v>
      </c>
      <c r="H832" s="657"/>
      <c r="I832" s="657"/>
      <c r="J832" s="657"/>
      <c r="K832" s="657"/>
      <c r="L832" s="657"/>
      <c r="M832" s="657"/>
    </row>
    <row r="833" spans="1:13">
      <c r="A833" s="701" t="s">
        <v>745</v>
      </c>
      <c r="B833" s="723">
        <f>3.35+3.15</f>
        <v>6.5</v>
      </c>
      <c r="C833" s="723">
        <v>2.8</v>
      </c>
      <c r="D833" s="723">
        <f t="shared" si="32"/>
        <v>18.2</v>
      </c>
      <c r="E833" s="723"/>
      <c r="F833" s="723"/>
      <c r="G833" s="748">
        <f t="shared" si="33"/>
        <v>18.2</v>
      </c>
      <c r="H833" s="657"/>
      <c r="I833" s="657"/>
      <c r="J833" s="657"/>
      <c r="K833" s="657"/>
      <c r="L833" s="657"/>
      <c r="M833" s="657"/>
    </row>
    <row r="834" spans="1:13" ht="24">
      <c r="A834" s="701" t="s">
        <v>746</v>
      </c>
      <c r="B834" s="723">
        <v>8</v>
      </c>
      <c r="C834" s="723">
        <v>2.8</v>
      </c>
      <c r="D834" s="723">
        <f t="shared" si="32"/>
        <v>22.4</v>
      </c>
      <c r="E834" s="747" t="s">
        <v>747</v>
      </c>
      <c r="F834" s="723">
        <f>(2.2*1.1)+(0.8*2.1)</f>
        <v>4.1000000000000005</v>
      </c>
      <c r="G834" s="748">
        <f t="shared" si="33"/>
        <v>18.299999999999997</v>
      </c>
      <c r="H834" s="657"/>
      <c r="I834" s="657"/>
      <c r="J834" s="657"/>
      <c r="K834" s="657"/>
      <c r="L834" s="657"/>
      <c r="M834" s="657"/>
    </row>
    <row r="835" spans="1:13" ht="24">
      <c r="A835" s="701" t="s">
        <v>746</v>
      </c>
      <c r="B835" s="723">
        <v>8</v>
      </c>
      <c r="C835" s="723">
        <v>2.8</v>
      </c>
      <c r="D835" s="723">
        <f t="shared" si="32"/>
        <v>22.4</v>
      </c>
      <c r="E835" s="723"/>
      <c r="F835" s="723"/>
      <c r="G835" s="748">
        <f t="shared" si="33"/>
        <v>22.4</v>
      </c>
      <c r="H835" s="657"/>
      <c r="I835" s="657"/>
      <c r="J835" s="657"/>
      <c r="K835" s="657"/>
      <c r="L835" s="657"/>
      <c r="M835" s="657"/>
    </row>
    <row r="836" spans="1:13">
      <c r="A836" s="701" t="s">
        <v>748</v>
      </c>
      <c r="B836" s="723">
        <v>3.5</v>
      </c>
      <c r="C836" s="723">
        <v>2.8</v>
      </c>
      <c r="D836" s="723">
        <f t="shared" si="32"/>
        <v>9.7999999999999989</v>
      </c>
      <c r="E836" s="747" t="s">
        <v>749</v>
      </c>
      <c r="F836" s="723">
        <f>2.2*1.1</f>
        <v>2.4200000000000004</v>
      </c>
      <c r="G836" s="748">
        <f t="shared" si="33"/>
        <v>7.379999999999999</v>
      </c>
      <c r="H836" s="657"/>
      <c r="I836" s="657"/>
      <c r="J836" s="657"/>
      <c r="K836" s="657"/>
      <c r="L836" s="657"/>
      <c r="M836" s="657"/>
    </row>
    <row r="837" spans="1:13">
      <c r="A837" s="701" t="s">
        <v>750</v>
      </c>
      <c r="B837" s="723">
        <f>2.55+2</f>
        <v>4.55</v>
      </c>
      <c r="C837" s="723">
        <v>2.8</v>
      </c>
      <c r="D837" s="723">
        <f t="shared" si="32"/>
        <v>12.739999999999998</v>
      </c>
      <c r="E837" s="723"/>
      <c r="F837" s="723"/>
      <c r="G837" s="748">
        <f t="shared" si="33"/>
        <v>12.739999999999998</v>
      </c>
      <c r="H837" s="657"/>
      <c r="I837" s="657"/>
      <c r="J837" s="657"/>
      <c r="K837" s="657"/>
      <c r="L837" s="657"/>
      <c r="M837" s="657"/>
    </row>
    <row r="838" spans="1:13" ht="24">
      <c r="A838" s="806" t="s">
        <v>751</v>
      </c>
      <c r="B838" s="807">
        <v>4</v>
      </c>
      <c r="C838" s="784">
        <v>2.8</v>
      </c>
      <c r="D838" s="784">
        <f t="shared" si="32"/>
        <v>11.2</v>
      </c>
      <c r="E838" s="808" t="s">
        <v>752</v>
      </c>
      <c r="F838" s="784">
        <f>(1.3*2.1)+(2.3*1.1)</f>
        <v>5.26</v>
      </c>
      <c r="G838" s="809">
        <f t="shared" si="33"/>
        <v>5.9399999999999995</v>
      </c>
      <c r="H838" s="657"/>
      <c r="I838" s="657"/>
      <c r="J838" s="657"/>
      <c r="K838" s="657"/>
      <c r="L838" s="657"/>
      <c r="M838" s="657"/>
    </row>
    <row r="839" spans="1:13" ht="36">
      <c r="A839" s="806" t="s">
        <v>753</v>
      </c>
      <c r="B839" s="807">
        <f>2.15+1.35+1.5</f>
        <v>5</v>
      </c>
      <c r="C839" s="784">
        <v>5.23</v>
      </c>
      <c r="D839" s="784">
        <f t="shared" si="32"/>
        <v>26.150000000000002</v>
      </c>
      <c r="E839" s="808" t="s">
        <v>754</v>
      </c>
      <c r="F839" s="784">
        <f>1.2*1.1+(0.8*2.1)+(0.9*2.1)</f>
        <v>4.8900000000000006</v>
      </c>
      <c r="G839" s="809">
        <f t="shared" si="33"/>
        <v>21.26</v>
      </c>
      <c r="H839" s="657"/>
      <c r="I839" s="657"/>
      <c r="J839" s="657"/>
      <c r="K839" s="657"/>
      <c r="L839" s="657"/>
      <c r="M839" s="657"/>
    </row>
    <row r="840" spans="1:13">
      <c r="A840" s="806" t="s">
        <v>755</v>
      </c>
      <c r="B840" s="807">
        <v>1.5</v>
      </c>
      <c r="C840" s="784">
        <v>5.23</v>
      </c>
      <c r="D840" s="784">
        <f t="shared" si="32"/>
        <v>7.8450000000000006</v>
      </c>
      <c r="E840" s="784"/>
      <c r="F840" s="784"/>
      <c r="G840" s="809">
        <f t="shared" si="33"/>
        <v>7.8450000000000006</v>
      </c>
      <c r="H840" s="657"/>
      <c r="I840" s="657"/>
      <c r="J840" s="657"/>
      <c r="K840" s="657"/>
      <c r="L840" s="657"/>
      <c r="M840" s="657"/>
    </row>
    <row r="841" spans="1:13" ht="48">
      <c r="A841" s="806" t="s">
        <v>756</v>
      </c>
      <c r="B841" s="807">
        <f>4.6+9.6</f>
        <v>14.2</v>
      </c>
      <c r="C841" s="784">
        <v>4.7300000000000004</v>
      </c>
      <c r="D841" s="784">
        <f t="shared" si="32"/>
        <v>67.165999999999997</v>
      </c>
      <c r="E841" s="808" t="s">
        <v>757</v>
      </c>
      <c r="F841" s="784">
        <f>2.3*1.1*2+(0.8*2.1)+(1*2.1)</f>
        <v>8.84</v>
      </c>
      <c r="G841" s="809">
        <f t="shared" si="33"/>
        <v>58.325999999999993</v>
      </c>
      <c r="H841" s="657"/>
      <c r="I841" s="657"/>
      <c r="J841" s="657"/>
      <c r="K841" s="657"/>
      <c r="L841" s="657"/>
      <c r="M841" s="657"/>
    </row>
    <row r="842" spans="1:13">
      <c r="A842" s="806" t="s">
        <v>758</v>
      </c>
      <c r="B842" s="807">
        <v>4.5999999999999996</v>
      </c>
      <c r="C842" s="784">
        <v>1.93</v>
      </c>
      <c r="D842" s="784">
        <f t="shared" si="32"/>
        <v>8.8779999999999983</v>
      </c>
      <c r="E842" s="784"/>
      <c r="F842" s="784"/>
      <c r="G842" s="809">
        <f t="shared" si="33"/>
        <v>8.8779999999999983</v>
      </c>
      <c r="H842" s="657"/>
      <c r="I842" s="657"/>
      <c r="J842" s="657"/>
      <c r="K842" s="657"/>
      <c r="L842" s="657"/>
      <c r="M842" s="657"/>
    </row>
    <row r="843" spans="1:13">
      <c r="A843" s="2312"/>
      <c r="B843" s="2283"/>
      <c r="C843" s="2283"/>
      <c r="D843" s="2283"/>
      <c r="E843" s="2283"/>
      <c r="F843" s="2283"/>
      <c r="G843" s="2284"/>
      <c r="H843" s="657"/>
      <c r="I843" s="657"/>
      <c r="J843" s="657"/>
      <c r="K843" s="657"/>
      <c r="L843" s="657"/>
      <c r="M843" s="657"/>
    </row>
    <row r="844" spans="1:13">
      <c r="A844" s="2201" t="s">
        <v>759</v>
      </c>
      <c r="B844" s="2202"/>
      <c r="C844" s="2202"/>
      <c r="D844" s="2202"/>
      <c r="E844" s="2202"/>
      <c r="F844" s="2202"/>
      <c r="G844" s="2203"/>
      <c r="H844" s="657"/>
      <c r="I844" s="657"/>
      <c r="J844" s="657"/>
      <c r="K844" s="657"/>
      <c r="L844" s="657"/>
      <c r="M844" s="657"/>
    </row>
    <row r="845" spans="1:13" ht="36">
      <c r="A845" s="701" t="s">
        <v>760</v>
      </c>
      <c r="B845" s="752">
        <f>7.5+4.65</f>
        <v>12.15</v>
      </c>
      <c r="C845" s="723">
        <v>2.8</v>
      </c>
      <c r="D845" s="723">
        <f t="shared" ref="D845:D853" si="34">B845*C845</f>
        <v>34.019999999999996</v>
      </c>
      <c r="E845" s="747" t="s">
        <v>761</v>
      </c>
      <c r="F845" s="723">
        <f>(1.6*2.1)+(3*1.1*0.6)</f>
        <v>5.34</v>
      </c>
      <c r="G845" s="748">
        <f t="shared" ref="G845:G853" si="35">D845-F845</f>
        <v>28.679999999999996</v>
      </c>
      <c r="H845" s="657"/>
      <c r="I845" s="657"/>
      <c r="J845" s="657"/>
      <c r="K845" s="657"/>
      <c r="L845" s="657"/>
      <c r="M845" s="657"/>
    </row>
    <row r="846" spans="1:13" ht="24">
      <c r="A846" s="701" t="s">
        <v>760</v>
      </c>
      <c r="B846" s="752">
        <f>7.5+4.65</f>
        <v>12.15</v>
      </c>
      <c r="C846" s="723">
        <v>2.8</v>
      </c>
      <c r="D846" s="723">
        <f t="shared" si="34"/>
        <v>34.019999999999996</v>
      </c>
      <c r="E846" s="723"/>
      <c r="F846" s="723"/>
      <c r="G846" s="748">
        <f t="shared" si="35"/>
        <v>34.019999999999996</v>
      </c>
      <c r="H846" s="657"/>
      <c r="I846" s="657"/>
      <c r="J846" s="657"/>
      <c r="K846" s="657"/>
      <c r="L846" s="657"/>
      <c r="M846" s="657"/>
    </row>
    <row r="847" spans="1:13" ht="36">
      <c r="A847" s="701" t="s">
        <v>762</v>
      </c>
      <c r="B847" s="805">
        <f>8.85+10.35</f>
        <v>19.2</v>
      </c>
      <c r="C847" s="723">
        <v>2.8</v>
      </c>
      <c r="D847" s="723">
        <f t="shared" si="34"/>
        <v>53.76</v>
      </c>
      <c r="E847" s="747" t="s">
        <v>763</v>
      </c>
      <c r="F847" s="723">
        <f>2.3*1.1*5</f>
        <v>12.649999999999999</v>
      </c>
      <c r="G847" s="748">
        <f t="shared" si="35"/>
        <v>41.11</v>
      </c>
      <c r="H847" s="657"/>
      <c r="I847" s="657"/>
      <c r="J847" s="657"/>
      <c r="K847" s="657"/>
      <c r="L847" s="657"/>
      <c r="M847" s="657"/>
    </row>
    <row r="848" spans="1:13" ht="24">
      <c r="A848" s="701" t="s">
        <v>764</v>
      </c>
      <c r="B848" s="805">
        <f>4.65+4</f>
        <v>8.65</v>
      </c>
      <c r="C848" s="723">
        <v>2.8</v>
      </c>
      <c r="D848" s="723">
        <f t="shared" si="34"/>
        <v>24.22</v>
      </c>
      <c r="E848" s="723"/>
      <c r="F848" s="723"/>
      <c r="G848" s="748">
        <f t="shared" si="35"/>
        <v>24.22</v>
      </c>
      <c r="H848" s="657"/>
      <c r="I848" s="657"/>
      <c r="J848" s="657"/>
      <c r="K848" s="657"/>
      <c r="L848" s="657"/>
      <c r="M848" s="657"/>
    </row>
    <row r="849" spans="1:13">
      <c r="A849" s="701" t="s">
        <v>765</v>
      </c>
      <c r="B849" s="805">
        <v>5.5</v>
      </c>
      <c r="C849" s="723">
        <v>2.8</v>
      </c>
      <c r="D849" s="723">
        <f t="shared" si="34"/>
        <v>15.399999999999999</v>
      </c>
      <c r="E849" s="747" t="s">
        <v>766</v>
      </c>
      <c r="F849" s="723">
        <f>2.3*1.1</f>
        <v>2.5299999999999998</v>
      </c>
      <c r="G849" s="748">
        <f t="shared" si="35"/>
        <v>12.87</v>
      </c>
      <c r="H849" s="657"/>
      <c r="I849" s="657"/>
      <c r="J849" s="657"/>
      <c r="K849" s="657"/>
      <c r="L849" s="657"/>
      <c r="M849" s="657"/>
    </row>
    <row r="850" spans="1:13">
      <c r="A850" s="701" t="s">
        <v>767</v>
      </c>
      <c r="B850" s="805">
        <v>4.5</v>
      </c>
      <c r="C850" s="723">
        <v>2.8</v>
      </c>
      <c r="D850" s="723">
        <f t="shared" si="34"/>
        <v>12.6</v>
      </c>
      <c r="E850" s="723"/>
      <c r="F850" s="723"/>
      <c r="G850" s="748">
        <f t="shared" si="35"/>
        <v>12.6</v>
      </c>
      <c r="H850" s="657"/>
      <c r="I850" s="657"/>
      <c r="J850" s="657"/>
      <c r="K850" s="657"/>
      <c r="L850" s="657"/>
      <c r="M850" s="657"/>
    </row>
    <row r="851" spans="1:13">
      <c r="A851" s="806" t="s">
        <v>768</v>
      </c>
      <c r="B851" s="807">
        <v>5</v>
      </c>
      <c r="C851" s="784">
        <v>2.8</v>
      </c>
      <c r="D851" s="784">
        <f t="shared" si="34"/>
        <v>14</v>
      </c>
      <c r="E851" s="784"/>
      <c r="F851" s="784"/>
      <c r="G851" s="809">
        <f t="shared" si="35"/>
        <v>14</v>
      </c>
      <c r="H851" s="657"/>
      <c r="I851" s="657"/>
      <c r="J851" s="657"/>
      <c r="K851" s="657"/>
      <c r="L851" s="657"/>
      <c r="M851" s="657"/>
    </row>
    <row r="852" spans="1:13">
      <c r="A852" s="806" t="s">
        <v>769</v>
      </c>
      <c r="B852" s="807">
        <v>9</v>
      </c>
      <c r="C852" s="784">
        <v>2.8</v>
      </c>
      <c r="D852" s="784">
        <f t="shared" si="34"/>
        <v>25.2</v>
      </c>
      <c r="E852" s="784"/>
      <c r="F852" s="784"/>
      <c r="G852" s="809">
        <f t="shared" si="35"/>
        <v>25.2</v>
      </c>
      <c r="H852" s="657"/>
      <c r="I852" s="657"/>
      <c r="J852" s="657"/>
      <c r="K852" s="657"/>
      <c r="L852" s="657"/>
      <c r="M852" s="657"/>
    </row>
    <row r="853" spans="1:13" ht="24">
      <c r="A853" s="806" t="s">
        <v>770</v>
      </c>
      <c r="B853" s="807">
        <v>6.15</v>
      </c>
      <c r="C853" s="784">
        <v>5.23</v>
      </c>
      <c r="D853" s="784">
        <f t="shared" si="34"/>
        <v>32.164500000000004</v>
      </c>
      <c r="E853" s="808" t="s">
        <v>884</v>
      </c>
      <c r="F853" s="784">
        <f>0.8*2.1*4</f>
        <v>6.7200000000000006</v>
      </c>
      <c r="G853" s="809">
        <f t="shared" si="35"/>
        <v>25.444500000000005</v>
      </c>
      <c r="H853" s="657"/>
      <c r="I853" s="657"/>
      <c r="J853" s="657"/>
      <c r="K853" s="657"/>
      <c r="L853" s="657"/>
      <c r="M853" s="657"/>
    </row>
    <row r="854" spans="1:13">
      <c r="A854" s="2312"/>
      <c r="B854" s="2283"/>
      <c r="C854" s="2283"/>
      <c r="D854" s="2283"/>
      <c r="E854" s="2283"/>
      <c r="F854" s="2283"/>
      <c r="G854" s="2284"/>
      <c r="H854" s="657"/>
      <c r="I854" s="657"/>
      <c r="J854" s="657"/>
      <c r="K854" s="657"/>
      <c r="L854" s="657"/>
      <c r="M854" s="657"/>
    </row>
    <row r="855" spans="1:13">
      <c r="A855" s="2273" t="s">
        <v>2064</v>
      </c>
      <c r="B855" s="2190"/>
      <c r="C855" s="2190"/>
      <c r="D855" s="2190"/>
      <c r="E855" s="2190"/>
      <c r="F855" s="2190"/>
      <c r="G855" s="2191"/>
      <c r="H855" s="657"/>
      <c r="I855" s="923"/>
      <c r="J855" s="657"/>
      <c r="K855" s="657"/>
      <c r="L855" s="657"/>
      <c r="M855" s="657"/>
    </row>
    <row r="856" spans="1:13">
      <c r="A856" s="2332"/>
      <c r="B856" s="2333"/>
      <c r="C856" s="2195" t="s">
        <v>731</v>
      </c>
      <c r="D856" s="2196"/>
      <c r="E856" s="2196"/>
      <c r="F856" s="2197"/>
      <c r="G856" s="748"/>
      <c r="H856" s="657"/>
      <c r="I856" s="657"/>
      <c r="J856" s="657"/>
      <c r="K856" s="657"/>
      <c r="L856" s="657"/>
      <c r="M856" s="657"/>
    </row>
    <row r="857" spans="1:13">
      <c r="A857" s="2309"/>
      <c r="B857" s="2334"/>
      <c r="C857" s="2198" t="s">
        <v>307</v>
      </c>
      <c r="D857" s="2199"/>
      <c r="E857" s="2199"/>
      <c r="F857" s="2200"/>
      <c r="G857" s="811">
        <f>ROUNDUP(G821+G822+G823+G824+G825+G826+G827+G828,2)</f>
        <v>48.91</v>
      </c>
      <c r="H857" s="657"/>
      <c r="I857" s="657"/>
      <c r="J857" s="657"/>
      <c r="K857" s="657"/>
      <c r="L857" s="657"/>
      <c r="M857" s="657"/>
    </row>
    <row r="858" spans="1:13">
      <c r="A858" s="2309"/>
      <c r="B858" s="2334"/>
      <c r="C858" s="2195" t="s">
        <v>741</v>
      </c>
      <c r="D858" s="2196"/>
      <c r="E858" s="2196"/>
      <c r="F858" s="2197"/>
      <c r="G858" s="812"/>
      <c r="H858" s="657"/>
      <c r="I858" s="657"/>
      <c r="J858" s="657"/>
      <c r="K858" s="657"/>
      <c r="L858" s="657"/>
      <c r="M858" s="657"/>
    </row>
    <row r="859" spans="1:13">
      <c r="A859" s="2309"/>
      <c r="B859" s="2334"/>
      <c r="C859" s="2198" t="s">
        <v>307</v>
      </c>
      <c r="D859" s="2199"/>
      <c r="E859" s="2199"/>
      <c r="F859" s="2200"/>
      <c r="G859" s="811">
        <f>ROUNDUP(G831+G832+G833+G834+G835+G836+G837+G838+G839+G840+G841+G842,2)</f>
        <v>205.01</v>
      </c>
      <c r="H859" s="657"/>
      <c r="I859" s="657"/>
      <c r="J859" s="657"/>
      <c r="K859" s="657"/>
      <c r="L859" s="657"/>
      <c r="M859" s="657"/>
    </row>
    <row r="860" spans="1:13">
      <c r="A860" s="2309"/>
      <c r="B860" s="2334"/>
      <c r="C860" s="2195" t="s">
        <v>759</v>
      </c>
      <c r="D860" s="2196"/>
      <c r="E860" s="2196"/>
      <c r="F860" s="2197"/>
      <c r="G860" s="812"/>
      <c r="H860" s="657"/>
      <c r="I860" s="657"/>
      <c r="J860" s="657"/>
      <c r="K860" s="657"/>
      <c r="L860" s="657"/>
      <c r="M860" s="657"/>
    </row>
    <row r="861" spans="1:13">
      <c r="A861" s="2335"/>
      <c r="B861" s="2336"/>
      <c r="C861" s="2198" t="s">
        <v>307</v>
      </c>
      <c r="D861" s="2199"/>
      <c r="E861" s="2199"/>
      <c r="F861" s="2200"/>
      <c r="G861" s="811">
        <f>ROUNDUP(G845+G851+G852+G846+G847+G849+G850+G853,2)</f>
        <v>193.92999999999998</v>
      </c>
      <c r="H861" s="657"/>
      <c r="I861" s="657"/>
      <c r="J861" s="657"/>
      <c r="K861" s="657"/>
      <c r="L861" s="657"/>
      <c r="M861" s="657"/>
    </row>
    <row r="862" spans="1:13" ht="15.75" thickBot="1">
      <c r="A862" s="2318" t="s">
        <v>340</v>
      </c>
      <c r="B862" s="2319"/>
      <c r="C862" s="2319"/>
      <c r="D862" s="2319"/>
      <c r="E862" s="2319"/>
      <c r="F862" s="2320"/>
      <c r="G862" s="832">
        <f>ROUNDUP(G857+G859+G861,2)</f>
        <v>447.85</v>
      </c>
      <c r="H862" s="657"/>
      <c r="I862" s="657"/>
      <c r="J862" s="657"/>
      <c r="K862" s="657"/>
      <c r="L862" s="657"/>
      <c r="M862" s="657"/>
    </row>
    <row r="863" spans="1:13" ht="15.75" thickBot="1">
      <c r="A863" s="719"/>
      <c r="B863" s="720"/>
      <c r="C863" s="720"/>
      <c r="D863" s="720"/>
      <c r="E863" s="720"/>
      <c r="F863" s="720"/>
      <c r="G863" s="721"/>
      <c r="H863" s="657"/>
      <c r="I863" s="657"/>
      <c r="J863" s="657"/>
      <c r="K863" s="657"/>
      <c r="L863" s="657"/>
      <c r="M863" s="657"/>
    </row>
    <row r="864" spans="1:13" ht="15.75" thickBot="1">
      <c r="A864" s="671" t="s">
        <v>89</v>
      </c>
      <c r="B864" s="2180" t="s">
        <v>886</v>
      </c>
      <c r="C864" s="2181"/>
      <c r="D864" s="2181"/>
      <c r="E864" s="2181"/>
      <c r="F864" s="2181"/>
      <c r="G864" s="2182"/>
      <c r="H864" s="657"/>
      <c r="I864" s="657"/>
      <c r="J864" s="657"/>
      <c r="K864" s="657"/>
      <c r="L864" s="657"/>
      <c r="M864" s="657"/>
    </row>
    <row r="865" spans="1:13">
      <c r="A865" s="2213" t="s">
        <v>882</v>
      </c>
      <c r="B865" s="2214"/>
      <c r="C865" s="2214"/>
      <c r="D865" s="2214"/>
      <c r="E865" s="2214"/>
      <c r="F865" s="2214"/>
      <c r="G865" s="2215"/>
      <c r="H865" s="657"/>
      <c r="I865" s="657"/>
      <c r="J865" s="657"/>
      <c r="K865" s="657"/>
      <c r="L865" s="657"/>
      <c r="M865" s="657"/>
    </row>
    <row r="866" spans="1:13">
      <c r="A866" s="2241" t="s">
        <v>883</v>
      </c>
      <c r="B866" s="2228"/>
      <c r="C866" s="2228"/>
      <c r="D866" s="2228"/>
      <c r="E866" s="2228"/>
      <c r="F866" s="2228"/>
      <c r="G866" s="2229"/>
      <c r="H866" s="657"/>
      <c r="I866" s="657"/>
      <c r="J866" s="657"/>
      <c r="K866" s="657"/>
      <c r="L866" s="657"/>
      <c r="M866" s="657"/>
    </row>
    <row r="867" spans="1:13">
      <c r="A867" s="686" t="s">
        <v>322</v>
      </c>
      <c r="B867" s="687" t="s">
        <v>322</v>
      </c>
      <c r="C867" s="687" t="s">
        <v>332</v>
      </c>
      <c r="D867" s="687" t="s">
        <v>333</v>
      </c>
      <c r="E867" s="687" t="s">
        <v>334</v>
      </c>
      <c r="F867" s="687" t="s">
        <v>335</v>
      </c>
      <c r="G867" s="745" t="s">
        <v>336</v>
      </c>
      <c r="H867" s="657"/>
      <c r="I867" s="657"/>
      <c r="J867" s="657"/>
      <c r="K867" s="657"/>
      <c r="L867" s="657"/>
      <c r="M867" s="657"/>
    </row>
    <row r="868" spans="1:13">
      <c r="A868" s="2201" t="s">
        <v>731</v>
      </c>
      <c r="B868" s="2202"/>
      <c r="C868" s="2202"/>
      <c r="D868" s="2202"/>
      <c r="E868" s="2202"/>
      <c r="F868" s="2202"/>
      <c r="G868" s="2203"/>
      <c r="H868" s="657"/>
      <c r="I868" s="657"/>
      <c r="J868" s="657"/>
      <c r="K868" s="657"/>
      <c r="L868" s="657"/>
      <c r="M868" s="657"/>
    </row>
    <row r="869" spans="1:13">
      <c r="A869" s="701" t="s">
        <v>732</v>
      </c>
      <c r="B869" s="723">
        <v>1.5</v>
      </c>
      <c r="C869" s="723">
        <v>2.8</v>
      </c>
      <c r="D869" s="723">
        <f t="shared" ref="D869:D876" si="36">B869*C869</f>
        <v>4.1999999999999993</v>
      </c>
      <c r="E869" s="723"/>
      <c r="F869" s="723"/>
      <c r="G869" s="748">
        <f t="shared" ref="G869:G876" si="37">D869-F869</f>
        <v>4.1999999999999993</v>
      </c>
      <c r="H869" s="657"/>
      <c r="I869" s="657"/>
      <c r="J869" s="657"/>
      <c r="K869" s="657"/>
      <c r="L869" s="657"/>
      <c r="M869" s="657"/>
    </row>
    <row r="870" spans="1:13">
      <c r="A870" s="701" t="s">
        <v>733</v>
      </c>
      <c r="B870" s="805">
        <v>1.95</v>
      </c>
      <c r="C870" s="723">
        <v>2.8</v>
      </c>
      <c r="D870" s="723">
        <f t="shared" si="36"/>
        <v>5.46</v>
      </c>
      <c r="E870" s="747" t="s">
        <v>734</v>
      </c>
      <c r="F870" s="723">
        <f>0.8*2.1</f>
        <v>1.6800000000000002</v>
      </c>
      <c r="G870" s="748">
        <f t="shared" si="37"/>
        <v>3.78</v>
      </c>
      <c r="H870" s="657"/>
      <c r="I870" s="657"/>
      <c r="J870" s="657"/>
      <c r="K870" s="657"/>
      <c r="L870" s="657"/>
      <c r="M870" s="657"/>
    </row>
    <row r="871" spans="1:13" ht="36">
      <c r="A871" s="701" t="s">
        <v>735</v>
      </c>
      <c r="B871" s="723">
        <f>1.05+2.85+3.85+1.85+1.08+2</f>
        <v>12.68</v>
      </c>
      <c r="C871" s="723">
        <v>0.7</v>
      </c>
      <c r="D871" s="723">
        <f t="shared" si="36"/>
        <v>8.8759999999999994</v>
      </c>
      <c r="E871" s="723"/>
      <c r="F871" s="723"/>
      <c r="G871" s="748">
        <f t="shared" si="37"/>
        <v>8.8759999999999994</v>
      </c>
      <c r="H871" s="657"/>
      <c r="I871" s="657"/>
      <c r="J871" s="657"/>
      <c r="K871" s="657"/>
      <c r="L871" s="657"/>
      <c r="M871" s="657"/>
    </row>
    <row r="872" spans="1:13" ht="36">
      <c r="A872" s="701" t="s">
        <v>736</v>
      </c>
      <c r="B872" s="723">
        <f>1.05+2.85+3.85+1.85+1.08+2</f>
        <v>12.68</v>
      </c>
      <c r="C872" s="723">
        <v>0.7</v>
      </c>
      <c r="D872" s="723">
        <f t="shared" si="36"/>
        <v>8.8759999999999994</v>
      </c>
      <c r="E872" s="723"/>
      <c r="F872" s="723"/>
      <c r="G872" s="748">
        <f t="shared" si="37"/>
        <v>8.8759999999999994</v>
      </c>
      <c r="H872" s="657"/>
      <c r="I872" s="657"/>
      <c r="J872" s="657"/>
      <c r="K872" s="657"/>
      <c r="L872" s="657"/>
      <c r="M872" s="657"/>
    </row>
    <row r="873" spans="1:13" ht="24">
      <c r="A873" s="701" t="s">
        <v>737</v>
      </c>
      <c r="B873" s="723">
        <f>1.85+1.65+1.85+1.65</f>
        <v>7</v>
      </c>
      <c r="C873" s="723">
        <v>0.7</v>
      </c>
      <c r="D873" s="723">
        <f t="shared" si="36"/>
        <v>4.8999999999999995</v>
      </c>
      <c r="E873" s="723"/>
      <c r="F873" s="723"/>
      <c r="G873" s="748">
        <f t="shared" si="37"/>
        <v>4.8999999999999995</v>
      </c>
      <c r="H873" s="657"/>
      <c r="I873" s="657"/>
      <c r="J873" s="657"/>
      <c r="K873" s="657"/>
      <c r="L873" s="657"/>
      <c r="M873" s="657"/>
    </row>
    <row r="874" spans="1:13" ht="24">
      <c r="A874" s="701" t="s">
        <v>738</v>
      </c>
      <c r="B874" s="723">
        <f>1.85+1.65+1.85+1.65</f>
        <v>7</v>
      </c>
      <c r="C874" s="723">
        <v>0.7</v>
      </c>
      <c r="D874" s="723">
        <f t="shared" si="36"/>
        <v>4.8999999999999995</v>
      </c>
      <c r="E874" s="723"/>
      <c r="F874" s="723"/>
      <c r="G874" s="748">
        <f t="shared" si="37"/>
        <v>4.8999999999999995</v>
      </c>
      <c r="H874" s="657"/>
      <c r="I874" s="657"/>
      <c r="J874" s="657"/>
      <c r="K874" s="657"/>
      <c r="L874" s="657"/>
      <c r="M874" s="657"/>
    </row>
    <row r="875" spans="1:13" ht="24">
      <c r="A875" s="701" t="s">
        <v>739</v>
      </c>
      <c r="B875" s="723">
        <f>1.35+1.35+2.35+2.35</f>
        <v>7.4</v>
      </c>
      <c r="C875" s="723">
        <v>0.7</v>
      </c>
      <c r="D875" s="723">
        <f t="shared" si="36"/>
        <v>5.18</v>
      </c>
      <c r="E875" s="723"/>
      <c r="F875" s="723"/>
      <c r="G875" s="748">
        <f t="shared" si="37"/>
        <v>5.18</v>
      </c>
      <c r="H875" s="657"/>
      <c r="I875" s="657"/>
      <c r="J875" s="657"/>
      <c r="K875" s="657"/>
      <c r="L875" s="657"/>
      <c r="M875" s="657"/>
    </row>
    <row r="876" spans="1:13" ht="24">
      <c r="A876" s="701" t="s">
        <v>740</v>
      </c>
      <c r="B876" s="723">
        <f>3.85+3.85+2+2</f>
        <v>11.7</v>
      </c>
      <c r="C876" s="723">
        <v>0.7</v>
      </c>
      <c r="D876" s="723">
        <f t="shared" si="36"/>
        <v>8.19</v>
      </c>
      <c r="E876" s="723"/>
      <c r="F876" s="723"/>
      <c r="G876" s="748">
        <f t="shared" si="37"/>
        <v>8.19</v>
      </c>
      <c r="H876" s="657"/>
      <c r="I876" s="657"/>
      <c r="J876" s="657"/>
      <c r="K876" s="657"/>
      <c r="L876" s="657"/>
      <c r="M876" s="657"/>
    </row>
    <row r="877" spans="1:13">
      <c r="A877" s="2312"/>
      <c r="B877" s="2283"/>
      <c r="C877" s="2283"/>
      <c r="D877" s="2283"/>
      <c r="E877" s="2283"/>
      <c r="F877" s="2283"/>
      <c r="G877" s="2284"/>
      <c r="H877" s="657"/>
      <c r="I877" s="657"/>
      <c r="J877" s="657"/>
      <c r="K877" s="657"/>
      <c r="L877" s="657"/>
      <c r="M877" s="657"/>
    </row>
    <row r="878" spans="1:13">
      <c r="A878" s="2201" t="s">
        <v>741</v>
      </c>
      <c r="B878" s="2202"/>
      <c r="C878" s="2202"/>
      <c r="D878" s="2202"/>
      <c r="E878" s="2202"/>
      <c r="F878" s="2202"/>
      <c r="G878" s="2203"/>
      <c r="H878" s="657"/>
      <c r="I878" s="657"/>
      <c r="J878" s="657"/>
      <c r="K878" s="657"/>
      <c r="L878" s="657"/>
      <c r="M878" s="657"/>
    </row>
    <row r="879" spans="1:13">
      <c r="A879" s="701" t="s">
        <v>742</v>
      </c>
      <c r="B879" s="723">
        <v>3.5</v>
      </c>
      <c r="C879" s="723">
        <v>2.8</v>
      </c>
      <c r="D879" s="723">
        <f t="shared" ref="D879:D890" si="38">B879*C879</f>
        <v>9.7999999999999989</v>
      </c>
      <c r="E879" s="747" t="s">
        <v>734</v>
      </c>
      <c r="F879" s="723">
        <f>0.8*2.1</f>
        <v>1.6800000000000002</v>
      </c>
      <c r="G879" s="748">
        <f t="shared" ref="G879:G890" si="39">D879-F879</f>
        <v>8.1199999999999992</v>
      </c>
      <c r="H879" s="657"/>
      <c r="I879" s="657"/>
      <c r="J879" s="657"/>
      <c r="K879" s="657"/>
      <c r="L879" s="657"/>
      <c r="M879" s="657"/>
    </row>
    <row r="880" spans="1:13" ht="36">
      <c r="A880" s="701" t="s">
        <v>743</v>
      </c>
      <c r="B880" s="723">
        <f>3.15+3.5</f>
        <v>6.65</v>
      </c>
      <c r="C880" s="723">
        <v>2.8</v>
      </c>
      <c r="D880" s="723">
        <f t="shared" si="38"/>
        <v>18.62</v>
      </c>
      <c r="E880" s="747" t="s">
        <v>744</v>
      </c>
      <c r="F880" s="723">
        <f>(0.8*2.1)+(1.1*0.6*2)</f>
        <v>3</v>
      </c>
      <c r="G880" s="748">
        <f t="shared" si="39"/>
        <v>15.620000000000001</v>
      </c>
      <c r="H880" s="657"/>
      <c r="I880" s="657"/>
      <c r="J880" s="657"/>
      <c r="K880" s="657"/>
      <c r="L880" s="657"/>
      <c r="M880" s="657"/>
    </row>
    <row r="881" spans="1:13">
      <c r="A881" s="701" t="s">
        <v>745</v>
      </c>
      <c r="B881" s="723">
        <f>3.35+3.15</f>
        <v>6.5</v>
      </c>
      <c r="C881" s="723">
        <v>2.8</v>
      </c>
      <c r="D881" s="723">
        <f t="shared" si="38"/>
        <v>18.2</v>
      </c>
      <c r="E881" s="723"/>
      <c r="F881" s="723"/>
      <c r="G881" s="748">
        <f t="shared" si="39"/>
        <v>18.2</v>
      </c>
      <c r="H881" s="657"/>
      <c r="I881" s="657"/>
      <c r="J881" s="657"/>
      <c r="K881" s="657"/>
      <c r="L881" s="657"/>
      <c r="M881" s="657"/>
    </row>
    <row r="882" spans="1:13" ht="24">
      <c r="A882" s="701" t="s">
        <v>746</v>
      </c>
      <c r="B882" s="723">
        <v>8</v>
      </c>
      <c r="C882" s="723">
        <v>2.8</v>
      </c>
      <c r="D882" s="723">
        <f t="shared" si="38"/>
        <v>22.4</v>
      </c>
      <c r="E882" s="747" t="s">
        <v>747</v>
      </c>
      <c r="F882" s="723">
        <f>(2.2*1.1)+(0.8*2.1)</f>
        <v>4.1000000000000005</v>
      </c>
      <c r="G882" s="748">
        <f t="shared" si="39"/>
        <v>18.299999999999997</v>
      </c>
      <c r="H882" s="657"/>
      <c r="I882" s="657"/>
      <c r="J882" s="657"/>
      <c r="K882" s="657"/>
      <c r="L882" s="657"/>
      <c r="M882" s="657"/>
    </row>
    <row r="883" spans="1:13" ht="24">
      <c r="A883" s="701" t="s">
        <v>746</v>
      </c>
      <c r="B883" s="723">
        <v>8</v>
      </c>
      <c r="C883" s="723">
        <v>2.8</v>
      </c>
      <c r="D883" s="723">
        <f t="shared" si="38"/>
        <v>22.4</v>
      </c>
      <c r="E883" s="723"/>
      <c r="F883" s="723"/>
      <c r="G883" s="748">
        <f t="shared" si="39"/>
        <v>22.4</v>
      </c>
      <c r="H883" s="657"/>
      <c r="I883" s="657"/>
      <c r="J883" s="657"/>
      <c r="K883" s="657"/>
      <c r="L883" s="657"/>
      <c r="M883" s="657"/>
    </row>
    <row r="884" spans="1:13">
      <c r="A884" s="701" t="s">
        <v>748</v>
      </c>
      <c r="B884" s="723">
        <v>3.5</v>
      </c>
      <c r="C884" s="723">
        <v>2.8</v>
      </c>
      <c r="D884" s="723">
        <f t="shared" si="38"/>
        <v>9.7999999999999989</v>
      </c>
      <c r="E884" s="747" t="s">
        <v>749</v>
      </c>
      <c r="F884" s="723">
        <f>2.2*1.1</f>
        <v>2.4200000000000004</v>
      </c>
      <c r="G884" s="748">
        <f t="shared" si="39"/>
        <v>7.379999999999999</v>
      </c>
      <c r="H884" s="657"/>
      <c r="I884" s="657"/>
      <c r="J884" s="657"/>
      <c r="K884" s="657"/>
      <c r="L884" s="657"/>
      <c r="M884" s="657"/>
    </row>
    <row r="885" spans="1:13">
      <c r="A885" s="701" t="s">
        <v>750</v>
      </c>
      <c r="B885" s="723">
        <f>2.55+2</f>
        <v>4.55</v>
      </c>
      <c r="C885" s="723">
        <v>2.8</v>
      </c>
      <c r="D885" s="723">
        <f t="shared" si="38"/>
        <v>12.739999999999998</v>
      </c>
      <c r="E885" s="723"/>
      <c r="F885" s="723"/>
      <c r="G885" s="748">
        <f t="shared" si="39"/>
        <v>12.739999999999998</v>
      </c>
      <c r="H885" s="657"/>
      <c r="I885" s="657"/>
      <c r="J885" s="657"/>
      <c r="K885" s="657"/>
      <c r="L885" s="657"/>
      <c r="M885" s="657"/>
    </row>
    <row r="886" spans="1:13" ht="24">
      <c r="A886" s="806" t="s">
        <v>751</v>
      </c>
      <c r="B886" s="807">
        <v>4</v>
      </c>
      <c r="C886" s="784">
        <v>2.8</v>
      </c>
      <c r="D886" s="784">
        <f t="shared" si="38"/>
        <v>11.2</v>
      </c>
      <c r="E886" s="808" t="s">
        <v>752</v>
      </c>
      <c r="F886" s="784">
        <f>(1.3*2.1)+(2.3*1.1)</f>
        <v>5.26</v>
      </c>
      <c r="G886" s="809">
        <f t="shared" si="39"/>
        <v>5.9399999999999995</v>
      </c>
      <c r="H886" s="657"/>
      <c r="I886" s="657"/>
      <c r="J886" s="657"/>
      <c r="K886" s="657"/>
      <c r="L886" s="657"/>
      <c r="M886" s="657"/>
    </row>
    <row r="887" spans="1:13" ht="36">
      <c r="A887" s="806" t="s">
        <v>753</v>
      </c>
      <c r="B887" s="807">
        <f>2.15+1.35+1.5</f>
        <v>5</v>
      </c>
      <c r="C887" s="784">
        <v>5.23</v>
      </c>
      <c r="D887" s="784">
        <f t="shared" si="38"/>
        <v>26.150000000000002</v>
      </c>
      <c r="E887" s="808" t="s">
        <v>754</v>
      </c>
      <c r="F887" s="784">
        <f>1.2*1.1+(0.8*2.1)+(0.9*2.1)</f>
        <v>4.8900000000000006</v>
      </c>
      <c r="G887" s="809">
        <f t="shared" si="39"/>
        <v>21.26</v>
      </c>
      <c r="H887" s="657"/>
      <c r="I887" s="657"/>
      <c r="J887" s="657"/>
      <c r="K887" s="657"/>
      <c r="L887" s="657"/>
      <c r="M887" s="657"/>
    </row>
    <row r="888" spans="1:13">
      <c r="A888" s="806" t="s">
        <v>755</v>
      </c>
      <c r="B888" s="807">
        <v>1.5</v>
      </c>
      <c r="C888" s="784">
        <v>5.23</v>
      </c>
      <c r="D888" s="784">
        <f t="shared" si="38"/>
        <v>7.8450000000000006</v>
      </c>
      <c r="E888" s="784"/>
      <c r="F888" s="784"/>
      <c r="G888" s="809">
        <f t="shared" si="39"/>
        <v>7.8450000000000006</v>
      </c>
      <c r="H888" s="657"/>
      <c r="I888" s="657"/>
      <c r="J888" s="657"/>
      <c r="K888" s="657"/>
      <c r="L888" s="657"/>
      <c r="M888" s="657"/>
    </row>
    <row r="889" spans="1:13" ht="48">
      <c r="A889" s="806" t="s">
        <v>756</v>
      </c>
      <c r="B889" s="807">
        <f>4.6+9.6</f>
        <v>14.2</v>
      </c>
      <c r="C889" s="784">
        <v>4.7300000000000004</v>
      </c>
      <c r="D889" s="784">
        <f t="shared" si="38"/>
        <v>67.165999999999997</v>
      </c>
      <c r="E889" s="808" t="s">
        <v>757</v>
      </c>
      <c r="F889" s="784">
        <f>2.3*1.1*2+(0.8*2.1)+(1*2.1)</f>
        <v>8.84</v>
      </c>
      <c r="G889" s="809">
        <f t="shared" si="39"/>
        <v>58.325999999999993</v>
      </c>
      <c r="H889" s="657"/>
      <c r="I889" s="657"/>
      <c r="J889" s="657"/>
      <c r="K889" s="657"/>
      <c r="L889" s="657"/>
      <c r="M889" s="657"/>
    </row>
    <row r="890" spans="1:13">
      <c r="A890" s="806" t="s">
        <v>758</v>
      </c>
      <c r="B890" s="807">
        <v>4.5999999999999996</v>
      </c>
      <c r="C890" s="784">
        <v>1.93</v>
      </c>
      <c r="D890" s="784">
        <f t="shared" si="38"/>
        <v>8.8779999999999983</v>
      </c>
      <c r="E890" s="784"/>
      <c r="F890" s="784"/>
      <c r="G890" s="809">
        <f t="shared" si="39"/>
        <v>8.8779999999999983</v>
      </c>
      <c r="H890" s="657"/>
      <c r="I890" s="657"/>
      <c r="J890" s="657"/>
      <c r="K890" s="657"/>
      <c r="L890" s="657"/>
      <c r="M890" s="657"/>
    </row>
    <row r="891" spans="1:13">
      <c r="A891" s="2312"/>
      <c r="B891" s="2283"/>
      <c r="C891" s="2283"/>
      <c r="D891" s="2283"/>
      <c r="E891" s="2283"/>
      <c r="F891" s="2283"/>
      <c r="G891" s="2284"/>
      <c r="H891" s="657"/>
      <c r="I891" s="657"/>
      <c r="J891" s="657"/>
      <c r="K891" s="657"/>
      <c r="L891" s="657"/>
      <c r="M891" s="657"/>
    </row>
    <row r="892" spans="1:13">
      <c r="A892" s="2201" t="s">
        <v>759</v>
      </c>
      <c r="B892" s="2202"/>
      <c r="C892" s="2202"/>
      <c r="D892" s="2202"/>
      <c r="E892" s="2202"/>
      <c r="F892" s="2202"/>
      <c r="G892" s="2203"/>
      <c r="H892" s="657"/>
      <c r="I892" s="657"/>
      <c r="J892" s="657"/>
      <c r="K892" s="657"/>
      <c r="L892" s="657"/>
      <c r="M892" s="657"/>
    </row>
    <row r="893" spans="1:13" ht="36">
      <c r="A893" s="701" t="s">
        <v>760</v>
      </c>
      <c r="B893" s="752">
        <f>7.5+4.65</f>
        <v>12.15</v>
      </c>
      <c r="C893" s="723">
        <v>2.8</v>
      </c>
      <c r="D893" s="723">
        <f t="shared" ref="D893:D901" si="40">B893*C893</f>
        <v>34.019999999999996</v>
      </c>
      <c r="E893" s="747" t="s">
        <v>761</v>
      </c>
      <c r="F893" s="723">
        <f>(1.6*2.1)+(3*1.1*0.6)</f>
        <v>5.34</v>
      </c>
      <c r="G893" s="748">
        <f t="shared" ref="G893:G901" si="41">D893-F893</f>
        <v>28.679999999999996</v>
      </c>
      <c r="H893" s="657"/>
      <c r="I893" s="657"/>
      <c r="J893" s="657"/>
      <c r="K893" s="657"/>
      <c r="L893" s="657"/>
      <c r="M893" s="657"/>
    </row>
    <row r="894" spans="1:13" ht="24">
      <c r="A894" s="701" t="s">
        <v>760</v>
      </c>
      <c r="B894" s="752">
        <f>7.5+4.65</f>
        <v>12.15</v>
      </c>
      <c r="C894" s="723">
        <v>2.8</v>
      </c>
      <c r="D894" s="723">
        <f t="shared" si="40"/>
        <v>34.019999999999996</v>
      </c>
      <c r="E894" s="723"/>
      <c r="F894" s="723"/>
      <c r="G894" s="748">
        <f t="shared" si="41"/>
        <v>34.019999999999996</v>
      </c>
      <c r="H894" s="657"/>
      <c r="I894" s="657"/>
      <c r="J894" s="657"/>
      <c r="K894" s="657"/>
      <c r="L894" s="657"/>
      <c r="M894" s="657"/>
    </row>
    <row r="895" spans="1:13" ht="36">
      <c r="A895" s="701" t="s">
        <v>762</v>
      </c>
      <c r="B895" s="805">
        <f>8.85+10.35</f>
        <v>19.2</v>
      </c>
      <c r="C895" s="723">
        <v>2.8</v>
      </c>
      <c r="D895" s="723">
        <f t="shared" si="40"/>
        <v>53.76</v>
      </c>
      <c r="E895" s="747" t="s">
        <v>763</v>
      </c>
      <c r="F895" s="723">
        <f>2.3*1.1*5</f>
        <v>12.649999999999999</v>
      </c>
      <c r="G895" s="748">
        <f t="shared" si="41"/>
        <v>41.11</v>
      </c>
      <c r="H895" s="657"/>
      <c r="I895" s="657"/>
      <c r="J895" s="657"/>
      <c r="K895" s="657"/>
      <c r="L895" s="657"/>
      <c r="M895" s="657"/>
    </row>
    <row r="896" spans="1:13" ht="24">
      <c r="A896" s="701" t="s">
        <v>764</v>
      </c>
      <c r="B896" s="805">
        <f>4.65+4</f>
        <v>8.65</v>
      </c>
      <c r="C896" s="723">
        <v>2.8</v>
      </c>
      <c r="D896" s="723">
        <f t="shared" si="40"/>
        <v>24.22</v>
      </c>
      <c r="E896" s="723"/>
      <c r="F896" s="723"/>
      <c r="G896" s="748">
        <f t="shared" si="41"/>
        <v>24.22</v>
      </c>
      <c r="H896" s="657"/>
      <c r="I896" s="657"/>
      <c r="J896" s="657"/>
      <c r="K896" s="657"/>
      <c r="L896" s="657"/>
      <c r="M896" s="657"/>
    </row>
    <row r="897" spans="1:13">
      <c r="A897" s="701" t="s">
        <v>765</v>
      </c>
      <c r="B897" s="805">
        <v>5.5</v>
      </c>
      <c r="C897" s="723">
        <v>2.8</v>
      </c>
      <c r="D897" s="723">
        <f t="shared" si="40"/>
        <v>15.399999999999999</v>
      </c>
      <c r="E897" s="747" t="s">
        <v>766</v>
      </c>
      <c r="F897" s="723">
        <f>2.3*1.1</f>
        <v>2.5299999999999998</v>
      </c>
      <c r="G897" s="748">
        <f t="shared" si="41"/>
        <v>12.87</v>
      </c>
      <c r="H897" s="657"/>
      <c r="I897" s="657"/>
      <c r="J897" s="657"/>
      <c r="K897" s="657"/>
      <c r="L897" s="657"/>
      <c r="M897" s="657"/>
    </row>
    <row r="898" spans="1:13">
      <c r="A898" s="701" t="s">
        <v>767</v>
      </c>
      <c r="B898" s="805">
        <v>4.5</v>
      </c>
      <c r="C898" s="723">
        <v>2.8</v>
      </c>
      <c r="D898" s="723">
        <f t="shared" si="40"/>
        <v>12.6</v>
      </c>
      <c r="E898" s="723"/>
      <c r="F898" s="723"/>
      <c r="G898" s="748">
        <f t="shared" si="41"/>
        <v>12.6</v>
      </c>
      <c r="H898" s="657"/>
      <c r="I898" s="657"/>
      <c r="J898" s="657"/>
      <c r="K898" s="657"/>
      <c r="L898" s="657"/>
      <c r="M898" s="657"/>
    </row>
    <row r="899" spans="1:13">
      <c r="A899" s="806" t="s">
        <v>768</v>
      </c>
      <c r="B899" s="807">
        <v>5</v>
      </c>
      <c r="C899" s="784">
        <v>2.8</v>
      </c>
      <c r="D899" s="784">
        <f t="shared" si="40"/>
        <v>14</v>
      </c>
      <c r="E899" s="784"/>
      <c r="F899" s="784"/>
      <c r="G899" s="809">
        <f t="shared" si="41"/>
        <v>14</v>
      </c>
      <c r="H899" s="657"/>
      <c r="I899" s="657"/>
      <c r="J899" s="657"/>
      <c r="K899" s="657"/>
      <c r="L899" s="657"/>
      <c r="M899" s="657"/>
    </row>
    <row r="900" spans="1:13">
      <c r="A900" s="806" t="s">
        <v>769</v>
      </c>
      <c r="B900" s="807">
        <v>9</v>
      </c>
      <c r="C900" s="784">
        <v>2.8</v>
      </c>
      <c r="D900" s="784">
        <f t="shared" si="40"/>
        <v>25.2</v>
      </c>
      <c r="E900" s="784"/>
      <c r="F900" s="784"/>
      <c r="G900" s="809">
        <f t="shared" si="41"/>
        <v>25.2</v>
      </c>
      <c r="H900" s="657"/>
      <c r="I900" s="657"/>
      <c r="J900" s="657"/>
      <c r="K900" s="657"/>
      <c r="L900" s="657"/>
      <c r="M900" s="657"/>
    </row>
    <row r="901" spans="1:13" ht="24">
      <c r="A901" s="806" t="s">
        <v>770</v>
      </c>
      <c r="B901" s="807">
        <v>6.15</v>
      </c>
      <c r="C901" s="784">
        <v>5.23</v>
      </c>
      <c r="D901" s="784">
        <f t="shared" si="40"/>
        <v>32.164500000000004</v>
      </c>
      <c r="E901" s="808" t="s">
        <v>884</v>
      </c>
      <c r="F901" s="784">
        <f>0.8*2.1*4</f>
        <v>6.7200000000000006</v>
      </c>
      <c r="G901" s="809">
        <f t="shared" si="41"/>
        <v>25.444500000000005</v>
      </c>
      <c r="H901" s="657"/>
      <c r="I901" s="657"/>
      <c r="J901" s="657"/>
      <c r="K901" s="657"/>
      <c r="L901" s="657"/>
      <c r="M901" s="657"/>
    </row>
    <row r="902" spans="1:13">
      <c r="A902" s="2312"/>
      <c r="B902" s="2283"/>
      <c r="C902" s="2283"/>
      <c r="D902" s="2283"/>
      <c r="E902" s="2283"/>
      <c r="F902" s="2283"/>
      <c r="G902" s="2284"/>
      <c r="H902" s="657"/>
      <c r="I902" s="657"/>
      <c r="J902" s="657"/>
      <c r="K902" s="657"/>
      <c r="L902" s="657"/>
      <c r="M902" s="657"/>
    </row>
    <row r="903" spans="1:13">
      <c r="A903" s="2273" t="s">
        <v>2065</v>
      </c>
      <c r="B903" s="2190"/>
      <c r="C903" s="2190"/>
      <c r="D903" s="2190"/>
      <c r="E903" s="2190"/>
      <c r="F903" s="2190"/>
      <c r="G903" s="2191"/>
      <c r="H903" s="657"/>
      <c r="I903" s="923"/>
      <c r="J903" s="657"/>
      <c r="K903" s="657"/>
      <c r="L903" s="657"/>
      <c r="M903" s="657"/>
    </row>
    <row r="904" spans="1:13">
      <c r="A904" s="2332"/>
      <c r="B904" s="2333"/>
      <c r="C904" s="2195" t="s">
        <v>731</v>
      </c>
      <c r="D904" s="2196"/>
      <c r="E904" s="2196"/>
      <c r="F904" s="2197"/>
      <c r="G904" s="748"/>
      <c r="H904" s="657"/>
      <c r="I904" s="657"/>
      <c r="J904" s="657"/>
      <c r="K904" s="657"/>
      <c r="L904" s="657"/>
      <c r="M904" s="657"/>
    </row>
    <row r="905" spans="1:13">
      <c r="A905" s="2309"/>
      <c r="B905" s="2334"/>
      <c r="C905" s="2198" t="s">
        <v>307</v>
      </c>
      <c r="D905" s="2199"/>
      <c r="E905" s="2199"/>
      <c r="F905" s="2200"/>
      <c r="G905" s="811">
        <f>ROUNDUP(G869+G870+G871+G872+G873+G874+G875+G876,2)</f>
        <v>48.91</v>
      </c>
      <c r="H905" s="657"/>
      <c r="I905" s="657"/>
      <c r="J905" s="657"/>
      <c r="K905" s="657"/>
      <c r="L905" s="657"/>
      <c r="M905" s="657"/>
    </row>
    <row r="906" spans="1:13">
      <c r="A906" s="2309"/>
      <c r="B906" s="2334"/>
      <c r="C906" s="2195" t="s">
        <v>741</v>
      </c>
      <c r="D906" s="2196"/>
      <c r="E906" s="2196"/>
      <c r="F906" s="2197"/>
      <c r="G906" s="812"/>
      <c r="H906" s="657"/>
      <c r="I906" s="657"/>
      <c r="J906" s="657"/>
      <c r="K906" s="657"/>
      <c r="L906" s="657"/>
      <c r="M906" s="657"/>
    </row>
    <row r="907" spans="1:13">
      <c r="A907" s="2309"/>
      <c r="B907" s="2334"/>
      <c r="C907" s="2198" t="s">
        <v>307</v>
      </c>
      <c r="D907" s="2199"/>
      <c r="E907" s="2199"/>
      <c r="F907" s="2200"/>
      <c r="G907" s="811">
        <f>ROUNDUP(G879+G880+G881+G882+G883+G884+G885+G886+G887+G888+G889+G890,2)</f>
        <v>205.01</v>
      </c>
      <c r="H907" s="657"/>
      <c r="I907" s="657"/>
      <c r="J907" s="657"/>
      <c r="K907" s="657"/>
      <c r="L907" s="657"/>
      <c r="M907" s="657"/>
    </row>
    <row r="908" spans="1:13">
      <c r="A908" s="2309"/>
      <c r="B908" s="2334"/>
      <c r="C908" s="2195" t="s">
        <v>759</v>
      </c>
      <c r="D908" s="2196"/>
      <c r="E908" s="2196"/>
      <c r="F908" s="2197"/>
      <c r="G908" s="812"/>
      <c r="H908" s="657"/>
      <c r="I908" s="657"/>
      <c r="J908" s="657"/>
      <c r="K908" s="657"/>
      <c r="L908" s="657"/>
      <c r="M908" s="657"/>
    </row>
    <row r="909" spans="1:13">
      <c r="A909" s="2335"/>
      <c r="B909" s="2336"/>
      <c r="C909" s="2198" t="s">
        <v>307</v>
      </c>
      <c r="D909" s="2199"/>
      <c r="E909" s="2199"/>
      <c r="F909" s="2200"/>
      <c r="G909" s="811">
        <f>ROUNDUP(G893+G899+G900+G894+G895+G897+G898+G901,2)</f>
        <v>193.92999999999998</v>
      </c>
      <c r="H909" s="657"/>
      <c r="I909" s="657"/>
      <c r="J909" s="657"/>
      <c r="K909" s="657"/>
      <c r="L909" s="657"/>
      <c r="M909" s="657"/>
    </row>
    <row r="910" spans="1:13" ht="15.75" thickBot="1">
      <c r="A910" s="2318" t="s">
        <v>340</v>
      </c>
      <c r="B910" s="2319"/>
      <c r="C910" s="2319"/>
      <c r="D910" s="2319"/>
      <c r="E910" s="2319"/>
      <c r="F910" s="2320"/>
      <c r="G910" s="832">
        <f>ROUNDUP(G905+G907+G909,2)</f>
        <v>447.85</v>
      </c>
      <c r="H910" s="657"/>
      <c r="I910" s="657"/>
      <c r="J910" s="657"/>
      <c r="K910" s="657"/>
      <c r="L910" s="657"/>
      <c r="M910" s="657"/>
    </row>
    <row r="911" spans="1:13" ht="15.75" thickBot="1">
      <c r="A911" s="719"/>
      <c r="B911" s="720"/>
      <c r="C911" s="720"/>
      <c r="D911" s="720"/>
      <c r="E911" s="720"/>
      <c r="F911" s="720"/>
      <c r="G911" s="721"/>
      <c r="H911" s="657"/>
      <c r="I911" s="657"/>
      <c r="J911" s="657"/>
      <c r="K911" s="657"/>
      <c r="L911" s="657"/>
      <c r="M911" s="657"/>
    </row>
    <row r="912" spans="1:13" ht="15.75" thickBot="1">
      <c r="A912" s="671" t="s">
        <v>180</v>
      </c>
      <c r="B912" s="2180" t="s">
        <v>887</v>
      </c>
      <c r="C912" s="2181"/>
      <c r="D912" s="2181"/>
      <c r="E912" s="2181"/>
      <c r="F912" s="2181"/>
      <c r="G912" s="2182"/>
      <c r="H912" s="657"/>
      <c r="I912" s="657"/>
      <c r="J912" s="657"/>
      <c r="K912" s="657"/>
      <c r="L912" s="657"/>
      <c r="M912" s="657"/>
    </row>
    <row r="913" spans="1:13">
      <c r="A913" s="2248" t="s">
        <v>817</v>
      </c>
      <c r="B913" s="2249"/>
      <c r="C913" s="2249"/>
      <c r="D913" s="2249"/>
      <c r="E913" s="2249"/>
      <c r="F913" s="2249"/>
      <c r="G913" s="2250"/>
      <c r="H913" s="657"/>
      <c r="I913" s="657"/>
      <c r="J913" s="657"/>
      <c r="K913" s="657"/>
      <c r="L913" s="657"/>
      <c r="M913" s="657"/>
    </row>
    <row r="914" spans="1:13">
      <c r="A914" s="2241" t="s">
        <v>390</v>
      </c>
      <c r="B914" s="2228"/>
      <c r="C914" s="2228"/>
      <c r="D914" s="2228"/>
      <c r="E914" s="2228"/>
      <c r="F914" s="2228"/>
      <c r="G914" s="2229"/>
      <c r="H914" s="657"/>
      <c r="I914" s="657"/>
      <c r="J914" s="657"/>
      <c r="K914" s="657"/>
      <c r="L914" s="657"/>
      <c r="M914" s="657"/>
    </row>
    <row r="915" spans="1:13">
      <c r="A915" s="2273" t="s">
        <v>391</v>
      </c>
      <c r="B915" s="2242"/>
      <c r="C915" s="687" t="s">
        <v>322</v>
      </c>
      <c r="D915" s="687" t="s">
        <v>305</v>
      </c>
      <c r="E915" s="2189" t="s">
        <v>306</v>
      </c>
      <c r="F915" s="2190"/>
      <c r="G915" s="2191"/>
      <c r="H915" s="657"/>
      <c r="I915" s="657"/>
      <c r="J915" s="657"/>
      <c r="K915" s="657"/>
      <c r="L915" s="657"/>
      <c r="M915" s="657"/>
    </row>
    <row r="916" spans="1:13">
      <c r="A916" s="2299" t="s">
        <v>818</v>
      </c>
      <c r="B916" s="2300"/>
      <c r="C916" s="784">
        <v>24.3</v>
      </c>
      <c r="D916" s="785">
        <v>34.869999999999997</v>
      </c>
      <c r="E916" s="2280"/>
      <c r="F916" s="2301"/>
      <c r="G916" s="2302"/>
      <c r="H916" s="657"/>
      <c r="I916" s="657"/>
      <c r="J916" s="657"/>
      <c r="K916" s="657"/>
      <c r="L916" s="657"/>
      <c r="M916" s="657"/>
    </row>
    <row r="917" spans="1:13">
      <c r="A917" s="2299" t="s">
        <v>820</v>
      </c>
      <c r="B917" s="2300"/>
      <c r="C917" s="784">
        <v>35.700000000000003</v>
      </c>
      <c r="D917" s="785">
        <v>72.37</v>
      </c>
      <c r="E917" s="2367"/>
      <c r="F917" s="2383"/>
      <c r="G917" s="2368"/>
      <c r="H917" s="657"/>
      <c r="I917" s="657"/>
      <c r="J917" s="657"/>
      <c r="K917" s="657"/>
      <c r="L917" s="657"/>
      <c r="M917" s="657"/>
    </row>
    <row r="918" spans="1:13">
      <c r="A918" s="2299" t="s">
        <v>821</v>
      </c>
      <c r="B918" s="2300"/>
      <c r="C918" s="784">
        <v>13</v>
      </c>
      <c r="D918" s="785">
        <v>10.55</v>
      </c>
      <c r="E918" s="2367"/>
      <c r="F918" s="2383"/>
      <c r="G918" s="2368"/>
      <c r="H918" s="657"/>
      <c r="I918" s="657"/>
      <c r="J918" s="657"/>
      <c r="K918" s="657"/>
      <c r="L918" s="657"/>
      <c r="M918" s="657"/>
    </row>
    <row r="919" spans="1:13">
      <c r="A919" s="2299" t="s">
        <v>822</v>
      </c>
      <c r="B919" s="2300"/>
      <c r="C919" s="784">
        <v>16</v>
      </c>
      <c r="D919" s="785">
        <v>16</v>
      </c>
      <c r="E919" s="2367"/>
      <c r="F919" s="2383"/>
      <c r="G919" s="2368"/>
      <c r="H919" s="657"/>
      <c r="I919" s="657"/>
      <c r="J919" s="657"/>
      <c r="K919" s="657"/>
      <c r="L919" s="657"/>
      <c r="M919" s="657"/>
    </row>
    <row r="920" spans="1:13">
      <c r="A920" s="2299" t="s">
        <v>823</v>
      </c>
      <c r="B920" s="2300"/>
      <c r="C920" s="784">
        <v>20</v>
      </c>
      <c r="D920" s="785">
        <v>19.64</v>
      </c>
      <c r="E920" s="2367"/>
      <c r="F920" s="2383"/>
      <c r="G920" s="2368"/>
      <c r="H920" s="657"/>
      <c r="I920" s="657"/>
      <c r="J920" s="657"/>
      <c r="K920" s="657"/>
      <c r="L920" s="657"/>
      <c r="M920" s="657"/>
    </row>
    <row r="921" spans="1:13">
      <c r="A921" s="2299" t="s">
        <v>386</v>
      </c>
      <c r="B921" s="2300"/>
      <c r="C921" s="784">
        <v>18</v>
      </c>
      <c r="D921" s="785">
        <v>20</v>
      </c>
      <c r="E921" s="2367"/>
      <c r="F921" s="2383"/>
      <c r="G921" s="2368"/>
      <c r="H921" s="657"/>
      <c r="I921" s="657"/>
      <c r="J921" s="657"/>
      <c r="K921" s="657"/>
      <c r="L921" s="657"/>
      <c r="M921" s="657"/>
    </row>
    <row r="922" spans="1:13">
      <c r="A922" s="2299" t="s">
        <v>824</v>
      </c>
      <c r="B922" s="2300"/>
      <c r="C922" s="784">
        <v>11.7</v>
      </c>
      <c r="D922" s="785">
        <v>7.7</v>
      </c>
      <c r="E922" s="2367"/>
      <c r="F922" s="2383"/>
      <c r="G922" s="2368"/>
      <c r="H922" s="657"/>
      <c r="I922" s="657"/>
      <c r="J922" s="657"/>
      <c r="K922" s="657"/>
      <c r="L922" s="657"/>
      <c r="M922" s="657"/>
    </row>
    <row r="923" spans="1:13">
      <c r="A923" s="2299" t="s">
        <v>825</v>
      </c>
      <c r="B923" s="2300"/>
      <c r="C923" s="784">
        <v>7.4</v>
      </c>
      <c r="D923" s="785">
        <v>3.18</v>
      </c>
      <c r="E923" s="2367"/>
      <c r="F923" s="2383"/>
      <c r="G923" s="2368"/>
      <c r="H923" s="657"/>
      <c r="I923" s="657"/>
      <c r="J923" s="657"/>
      <c r="K923" s="657"/>
      <c r="L923" s="657"/>
      <c r="M923" s="657"/>
    </row>
    <row r="924" spans="1:13">
      <c r="A924" s="2299" t="s">
        <v>826</v>
      </c>
      <c r="B924" s="2300"/>
      <c r="C924" s="784">
        <v>13.39</v>
      </c>
      <c r="D924" s="785">
        <v>7.68</v>
      </c>
      <c r="E924" s="2367"/>
      <c r="F924" s="2383"/>
      <c r="G924" s="2368"/>
      <c r="H924" s="657"/>
      <c r="I924" s="657"/>
      <c r="J924" s="657"/>
      <c r="K924" s="657"/>
      <c r="L924" s="657"/>
      <c r="M924" s="657"/>
    </row>
    <row r="925" spans="1:13">
      <c r="A925" s="2299" t="s">
        <v>827</v>
      </c>
      <c r="B925" s="2300"/>
      <c r="C925" s="784">
        <v>3.05</v>
      </c>
      <c r="D925" s="785">
        <v>2.78</v>
      </c>
      <c r="E925" s="2367"/>
      <c r="F925" s="2383"/>
      <c r="G925" s="2368"/>
      <c r="H925" s="657"/>
      <c r="I925" s="657"/>
      <c r="J925" s="657"/>
      <c r="K925" s="657"/>
      <c r="L925" s="657"/>
      <c r="M925" s="657"/>
    </row>
    <row r="926" spans="1:13">
      <c r="A926" s="2299" t="s">
        <v>828</v>
      </c>
      <c r="B926" s="2300"/>
      <c r="C926" s="784">
        <v>3.05</v>
      </c>
      <c r="D926" s="785">
        <v>7.68</v>
      </c>
      <c r="E926" s="2367"/>
      <c r="F926" s="2383"/>
      <c r="G926" s="2368"/>
      <c r="H926" s="657"/>
      <c r="I926" s="657"/>
      <c r="J926" s="657"/>
      <c r="K926" s="657"/>
      <c r="L926" s="657"/>
      <c r="M926" s="657"/>
    </row>
    <row r="927" spans="1:13">
      <c r="A927" s="2299" t="s">
        <v>829</v>
      </c>
      <c r="B927" s="2300"/>
      <c r="C927" s="784">
        <v>13.39</v>
      </c>
      <c r="D927" s="785">
        <v>2.78</v>
      </c>
      <c r="E927" s="2367"/>
      <c r="F927" s="2383"/>
      <c r="G927" s="2368"/>
      <c r="H927" s="657"/>
      <c r="I927" s="657"/>
      <c r="J927" s="657"/>
      <c r="K927" s="657"/>
      <c r="L927" s="657"/>
      <c r="M927" s="657"/>
    </row>
    <row r="928" spans="1:13">
      <c r="A928" s="2299" t="s">
        <v>704</v>
      </c>
      <c r="B928" s="2300"/>
      <c r="C928" s="784">
        <v>36.450000000000003</v>
      </c>
      <c r="D928" s="785">
        <v>33.979999999999997</v>
      </c>
      <c r="E928" s="2367"/>
      <c r="F928" s="2383"/>
      <c r="G928" s="2368"/>
      <c r="H928" s="657"/>
      <c r="I928" s="657"/>
      <c r="J928" s="657"/>
      <c r="K928" s="657"/>
      <c r="L928" s="657"/>
      <c r="M928" s="657"/>
    </row>
    <row r="929" spans="1:13">
      <c r="A929" s="2346" t="s">
        <v>888</v>
      </c>
      <c r="B929" s="2163"/>
      <c r="C929" s="784">
        <v>13.3</v>
      </c>
      <c r="D929" s="785">
        <v>10.61</v>
      </c>
      <c r="E929" s="2367"/>
      <c r="F929" s="2383"/>
      <c r="G929" s="2368"/>
      <c r="H929" s="657"/>
      <c r="I929" s="657"/>
      <c r="J929" s="657"/>
      <c r="K929" s="657"/>
      <c r="L929" s="657"/>
      <c r="M929" s="657"/>
    </row>
    <row r="930" spans="1:13">
      <c r="A930" s="2299" t="s">
        <v>889</v>
      </c>
      <c r="B930" s="2300"/>
      <c r="C930" s="784">
        <f>36.45+0.8+0.8</f>
        <v>38.049999999999997</v>
      </c>
      <c r="D930" s="785">
        <f>38.05*0.2</f>
        <v>7.6099999999999994</v>
      </c>
      <c r="E930" s="2367"/>
      <c r="F930" s="2383"/>
      <c r="G930" s="2368"/>
      <c r="H930" s="657"/>
      <c r="I930" s="657"/>
      <c r="J930" s="657"/>
      <c r="K930" s="657"/>
      <c r="L930" s="657"/>
      <c r="M930" s="657"/>
    </row>
    <row r="931" spans="1:13" ht="15.75" thickBot="1">
      <c r="A931" s="786"/>
      <c r="B931" s="787"/>
      <c r="C931" s="788" t="s">
        <v>307</v>
      </c>
      <c r="D931" s="789">
        <f>SUM(D916:D930)</f>
        <v>257.43</v>
      </c>
      <c r="E931" s="2303"/>
      <c r="F931" s="2304"/>
      <c r="G931" s="2305"/>
      <c r="H931" s="657"/>
      <c r="I931" s="657"/>
      <c r="J931" s="657"/>
      <c r="K931" s="657"/>
      <c r="L931" s="657"/>
      <c r="M931" s="657"/>
    </row>
    <row r="932" spans="1:13" ht="15.75" thickBot="1">
      <c r="A932" s="719"/>
      <c r="B932" s="720"/>
      <c r="C932" s="720"/>
      <c r="D932" s="720"/>
      <c r="E932" s="720"/>
      <c r="F932" s="720"/>
      <c r="G932" s="721"/>
      <c r="H932" s="657"/>
      <c r="I932" s="657"/>
      <c r="J932" s="657"/>
      <c r="K932" s="657"/>
      <c r="L932" s="657"/>
      <c r="M932" s="657"/>
    </row>
    <row r="933" spans="1:13" ht="15.75" thickBot="1">
      <c r="A933" s="671" t="s">
        <v>588</v>
      </c>
      <c r="B933" s="2180" t="s">
        <v>890</v>
      </c>
      <c r="C933" s="2181"/>
      <c r="D933" s="2181"/>
      <c r="E933" s="2181"/>
      <c r="F933" s="2181"/>
      <c r="G933" s="2182"/>
      <c r="H933" s="657"/>
      <c r="I933" s="657"/>
      <c r="J933" s="657"/>
      <c r="K933" s="657"/>
      <c r="L933" s="657"/>
      <c r="M933" s="657"/>
    </row>
    <row r="934" spans="1:13">
      <c r="A934" s="2248" t="s">
        <v>817</v>
      </c>
      <c r="B934" s="2249"/>
      <c r="C934" s="2249"/>
      <c r="D934" s="2249"/>
      <c r="E934" s="2249"/>
      <c r="F934" s="2249"/>
      <c r="G934" s="2250"/>
      <c r="H934" s="657"/>
      <c r="I934" s="657"/>
      <c r="J934" s="657"/>
      <c r="K934" s="657"/>
      <c r="L934" s="657"/>
      <c r="M934" s="657"/>
    </row>
    <row r="935" spans="1:13">
      <c r="A935" s="2241" t="s">
        <v>390</v>
      </c>
      <c r="B935" s="2228"/>
      <c r="C935" s="2228"/>
      <c r="D935" s="2228"/>
      <c r="E935" s="2228"/>
      <c r="F935" s="2228"/>
      <c r="G935" s="2229"/>
      <c r="H935" s="657"/>
      <c r="I935" s="657"/>
      <c r="J935" s="657"/>
      <c r="K935" s="657"/>
      <c r="L935" s="657"/>
      <c r="M935" s="657"/>
    </row>
    <row r="936" spans="1:13">
      <c r="A936" s="2273" t="s">
        <v>391</v>
      </c>
      <c r="B936" s="2242"/>
      <c r="C936" s="687" t="s">
        <v>322</v>
      </c>
      <c r="D936" s="687" t="s">
        <v>305</v>
      </c>
      <c r="E936" s="2189" t="s">
        <v>306</v>
      </c>
      <c r="F936" s="2190"/>
      <c r="G936" s="2191"/>
      <c r="H936" s="657"/>
      <c r="I936" s="657"/>
      <c r="J936" s="657"/>
      <c r="K936" s="657"/>
      <c r="L936" s="657"/>
      <c r="M936" s="657"/>
    </row>
    <row r="937" spans="1:13">
      <c r="A937" s="2299" t="s">
        <v>818</v>
      </c>
      <c r="B937" s="2300"/>
      <c r="C937" s="784">
        <v>24.3</v>
      </c>
      <c r="D937" s="785">
        <v>34.869999999999997</v>
      </c>
      <c r="E937" s="2280"/>
      <c r="F937" s="2301"/>
      <c r="G937" s="2302"/>
      <c r="H937" s="657"/>
      <c r="I937" s="855"/>
      <c r="J937" s="657"/>
      <c r="K937" s="657"/>
      <c r="L937" s="657"/>
      <c r="M937" s="657"/>
    </row>
    <row r="938" spans="1:13">
      <c r="A938" s="2299" t="s">
        <v>820</v>
      </c>
      <c r="B938" s="2300"/>
      <c r="C938" s="784">
        <v>35.700000000000003</v>
      </c>
      <c r="D938" s="785">
        <v>72.37</v>
      </c>
      <c r="E938" s="2367"/>
      <c r="F938" s="2383"/>
      <c r="G938" s="2368"/>
      <c r="H938" s="657"/>
      <c r="I938" s="855"/>
      <c r="J938" s="657"/>
      <c r="K938" s="657"/>
      <c r="L938" s="657"/>
      <c r="M938" s="657"/>
    </row>
    <row r="939" spans="1:13">
      <c r="A939" s="2299" t="s">
        <v>821</v>
      </c>
      <c r="B939" s="2300"/>
      <c r="C939" s="784">
        <v>13</v>
      </c>
      <c r="D939" s="785">
        <v>10.55</v>
      </c>
      <c r="E939" s="2367"/>
      <c r="F939" s="2383"/>
      <c r="G939" s="2368"/>
      <c r="H939" s="657"/>
      <c r="I939" s="855"/>
      <c r="J939" s="657"/>
      <c r="K939" s="657"/>
      <c r="L939" s="657"/>
      <c r="M939" s="657"/>
    </row>
    <row r="940" spans="1:13">
      <c r="A940" s="2299" t="s">
        <v>822</v>
      </c>
      <c r="B940" s="2300"/>
      <c r="C940" s="784">
        <v>16</v>
      </c>
      <c r="D940" s="785">
        <v>16</v>
      </c>
      <c r="E940" s="2367"/>
      <c r="F940" s="2383"/>
      <c r="G940" s="2368"/>
      <c r="H940" s="657"/>
      <c r="I940" s="855"/>
      <c r="J940" s="657"/>
      <c r="K940" s="657"/>
      <c r="L940" s="657"/>
      <c r="M940" s="657"/>
    </row>
    <row r="941" spans="1:13">
      <c r="A941" s="2299" t="s">
        <v>823</v>
      </c>
      <c r="B941" s="2300"/>
      <c r="C941" s="784">
        <v>20</v>
      </c>
      <c r="D941" s="785">
        <v>19.64</v>
      </c>
      <c r="E941" s="2367"/>
      <c r="F941" s="2383"/>
      <c r="G941" s="2368"/>
      <c r="H941" s="657"/>
      <c r="I941" s="855"/>
      <c r="J941" s="657"/>
      <c r="K941" s="657"/>
      <c r="L941" s="657"/>
      <c r="M941" s="657"/>
    </row>
    <row r="942" spans="1:13">
      <c r="A942" s="2299" t="s">
        <v>386</v>
      </c>
      <c r="B942" s="2300"/>
      <c r="C942" s="784">
        <v>18</v>
      </c>
      <c r="D942" s="785">
        <v>20</v>
      </c>
      <c r="E942" s="2367"/>
      <c r="F942" s="2383"/>
      <c r="G942" s="2368"/>
      <c r="H942" s="657"/>
      <c r="I942" s="855"/>
      <c r="J942" s="657"/>
      <c r="K942" s="657"/>
      <c r="L942" s="657"/>
      <c r="M942" s="657"/>
    </row>
    <row r="943" spans="1:13">
      <c r="A943" s="2299" t="s">
        <v>824</v>
      </c>
      <c r="B943" s="2300"/>
      <c r="C943" s="784">
        <v>11.7</v>
      </c>
      <c r="D943" s="785">
        <v>7.7</v>
      </c>
      <c r="E943" s="2367"/>
      <c r="F943" s="2383"/>
      <c r="G943" s="2368"/>
      <c r="H943" s="657"/>
      <c r="I943" s="855"/>
      <c r="J943" s="657"/>
      <c r="K943" s="657"/>
      <c r="L943" s="657"/>
      <c r="M943" s="657"/>
    </row>
    <row r="944" spans="1:13">
      <c r="A944" s="2299" t="s">
        <v>825</v>
      </c>
      <c r="B944" s="2300"/>
      <c r="C944" s="784">
        <v>7.4</v>
      </c>
      <c r="D944" s="785">
        <v>3.18</v>
      </c>
      <c r="E944" s="2367"/>
      <c r="F944" s="2383"/>
      <c r="G944" s="2368"/>
      <c r="H944" s="657"/>
      <c r="I944" s="855"/>
      <c r="J944" s="657"/>
      <c r="K944" s="657"/>
      <c r="L944" s="657"/>
      <c r="M944" s="657"/>
    </row>
    <row r="945" spans="1:13">
      <c r="A945" s="2299" t="s">
        <v>826</v>
      </c>
      <c r="B945" s="2300"/>
      <c r="C945" s="784">
        <v>13.39</v>
      </c>
      <c r="D945" s="785">
        <v>7.68</v>
      </c>
      <c r="E945" s="2367"/>
      <c r="F945" s="2383"/>
      <c r="G945" s="2368"/>
      <c r="H945" s="657"/>
      <c r="I945" s="855"/>
      <c r="J945" s="657"/>
      <c r="K945" s="657"/>
      <c r="L945" s="657"/>
      <c r="M945" s="657"/>
    </row>
    <row r="946" spans="1:13">
      <c r="A946" s="2299" t="s">
        <v>827</v>
      </c>
      <c r="B946" s="2300"/>
      <c r="C946" s="784">
        <v>3.05</v>
      </c>
      <c r="D946" s="785">
        <v>2.78</v>
      </c>
      <c r="E946" s="2367"/>
      <c r="F946" s="2383"/>
      <c r="G946" s="2368"/>
      <c r="H946" s="657"/>
      <c r="I946" s="855"/>
      <c r="J946" s="657"/>
      <c r="K946" s="657"/>
      <c r="L946" s="657"/>
      <c r="M946" s="657"/>
    </row>
    <row r="947" spans="1:13">
      <c r="A947" s="2299" t="s">
        <v>828</v>
      </c>
      <c r="B947" s="2300"/>
      <c r="C947" s="784">
        <v>3.05</v>
      </c>
      <c r="D947" s="785">
        <v>7.68</v>
      </c>
      <c r="E947" s="2367"/>
      <c r="F947" s="2383"/>
      <c r="G947" s="2368"/>
      <c r="H947" s="657"/>
      <c r="I947" s="855"/>
      <c r="J947" s="657"/>
      <c r="K947" s="657"/>
      <c r="L947" s="657"/>
      <c r="M947" s="657"/>
    </row>
    <row r="948" spans="1:13">
      <c r="A948" s="2299" t="s">
        <v>829</v>
      </c>
      <c r="B948" s="2300"/>
      <c r="C948" s="784">
        <v>13.39</v>
      </c>
      <c r="D948" s="785">
        <v>2.78</v>
      </c>
      <c r="E948" s="2367"/>
      <c r="F948" s="2383"/>
      <c r="G948" s="2368"/>
      <c r="H948" s="657"/>
      <c r="I948" s="855"/>
      <c r="J948" s="657"/>
      <c r="K948" s="657"/>
      <c r="L948" s="657"/>
      <c r="M948" s="657"/>
    </row>
    <row r="949" spans="1:13">
      <c r="A949" s="2346" t="s">
        <v>888</v>
      </c>
      <c r="B949" s="2163"/>
      <c r="C949" s="784">
        <v>13.3</v>
      </c>
      <c r="D949" s="785">
        <v>10.61</v>
      </c>
      <c r="E949" s="2367"/>
      <c r="F949" s="2383"/>
      <c r="G949" s="2368"/>
      <c r="H949" s="657"/>
      <c r="I949" s="855"/>
      <c r="J949" s="657"/>
      <c r="K949" s="657"/>
      <c r="L949" s="657"/>
      <c r="M949" s="657"/>
    </row>
    <row r="950" spans="1:13" ht="15.75" thickBot="1">
      <c r="A950" s="786"/>
      <c r="B950" s="787"/>
      <c r="C950" s="788" t="s">
        <v>307</v>
      </c>
      <c r="D950" s="789">
        <f>SUM(D937:D949)</f>
        <v>215.84000000000003</v>
      </c>
      <c r="E950" s="2303"/>
      <c r="F950" s="2304"/>
      <c r="G950" s="2305"/>
      <c r="H950" s="657"/>
      <c r="I950" s="855">
        <f>D931-D930-D928</f>
        <v>215.84</v>
      </c>
      <c r="J950" s="657" t="s">
        <v>2069</v>
      </c>
      <c r="K950" s="657"/>
      <c r="L950" s="657"/>
      <c r="M950" s="657"/>
    </row>
    <row r="951" spans="1:13" ht="15.75" thickBot="1">
      <c r="A951" s="719"/>
      <c r="B951" s="720"/>
      <c r="C951" s="720"/>
      <c r="D951" s="720"/>
      <c r="E951" s="720"/>
      <c r="F951" s="720"/>
      <c r="G951" s="721"/>
      <c r="H951" s="657"/>
      <c r="I951" s="855"/>
      <c r="J951" s="657"/>
      <c r="K951" s="657"/>
      <c r="L951" s="657"/>
      <c r="M951" s="657"/>
    </row>
    <row r="952" spans="1:13" ht="15.75" thickBot="1">
      <c r="A952" s="671" t="s">
        <v>589</v>
      </c>
      <c r="B952" s="2180" t="s">
        <v>891</v>
      </c>
      <c r="C952" s="2181"/>
      <c r="D952" s="2181"/>
      <c r="E952" s="2181"/>
      <c r="F952" s="2181"/>
      <c r="G952" s="2182"/>
      <c r="H952" s="657"/>
      <c r="I952" s="657"/>
      <c r="J952" s="657"/>
      <c r="K952" s="657"/>
      <c r="L952" s="657"/>
      <c r="M952" s="657"/>
    </row>
    <row r="953" spans="1:13">
      <c r="A953" s="2248" t="s">
        <v>817</v>
      </c>
      <c r="B953" s="2249"/>
      <c r="C953" s="2249"/>
      <c r="D953" s="2249"/>
      <c r="E953" s="2249"/>
      <c r="F953" s="2249"/>
      <c r="G953" s="2250"/>
      <c r="H953" s="657"/>
      <c r="I953" s="657"/>
      <c r="J953" s="657"/>
      <c r="K953" s="657"/>
      <c r="L953" s="657"/>
      <c r="M953" s="657"/>
    </row>
    <row r="954" spans="1:13">
      <c r="A954" s="2241" t="s">
        <v>390</v>
      </c>
      <c r="B954" s="2228"/>
      <c r="C954" s="2228"/>
      <c r="D954" s="2228"/>
      <c r="E954" s="2228"/>
      <c r="F954" s="2228"/>
      <c r="G954" s="2229"/>
      <c r="H954" s="657"/>
      <c r="I954" s="657"/>
      <c r="J954" s="657"/>
      <c r="K954" s="657"/>
      <c r="L954" s="657"/>
      <c r="M954" s="657"/>
    </row>
    <row r="955" spans="1:13">
      <c r="A955" s="2273" t="s">
        <v>391</v>
      </c>
      <c r="B955" s="2242"/>
      <c r="C955" s="687" t="s">
        <v>322</v>
      </c>
      <c r="D955" s="687" t="s">
        <v>305</v>
      </c>
      <c r="E955" s="2189" t="s">
        <v>306</v>
      </c>
      <c r="F955" s="2190"/>
      <c r="G955" s="2191"/>
      <c r="H955" s="657"/>
      <c r="I955" s="657"/>
      <c r="J955" s="657"/>
      <c r="K955" s="657"/>
      <c r="L955" s="657"/>
      <c r="M955" s="657"/>
    </row>
    <row r="956" spans="1:13">
      <c r="A956" s="2299" t="s">
        <v>818</v>
      </c>
      <c r="B956" s="2300"/>
      <c r="C956" s="784">
        <v>24.3</v>
      </c>
      <c r="D956" s="785">
        <v>34.869999999999997</v>
      </c>
      <c r="E956" s="2280"/>
      <c r="F956" s="2301"/>
      <c r="G956" s="2302"/>
      <c r="H956" s="657"/>
      <c r="I956" s="657"/>
      <c r="J956" s="657"/>
      <c r="K956" s="657"/>
      <c r="L956" s="657"/>
      <c r="M956" s="657"/>
    </row>
    <row r="957" spans="1:13">
      <c r="A957" s="2299" t="s">
        <v>820</v>
      </c>
      <c r="B957" s="2300"/>
      <c r="C957" s="784">
        <v>35.700000000000003</v>
      </c>
      <c r="D957" s="785">
        <v>72.37</v>
      </c>
      <c r="E957" s="2367"/>
      <c r="F957" s="2383"/>
      <c r="G957" s="2368"/>
      <c r="H957" s="657"/>
      <c r="I957" s="657"/>
      <c r="J957" s="657"/>
      <c r="K957" s="657"/>
      <c r="L957" s="657"/>
      <c r="M957" s="657"/>
    </row>
    <row r="958" spans="1:13">
      <c r="A958" s="2299" t="s">
        <v>821</v>
      </c>
      <c r="B958" s="2300"/>
      <c r="C958" s="784">
        <v>13</v>
      </c>
      <c r="D958" s="785">
        <v>10.55</v>
      </c>
      <c r="E958" s="2367"/>
      <c r="F958" s="2383"/>
      <c r="G958" s="2368"/>
      <c r="H958" s="657"/>
      <c r="I958" s="657"/>
      <c r="J958" s="657"/>
      <c r="K958" s="657"/>
      <c r="L958" s="657"/>
      <c r="M958" s="657"/>
    </row>
    <row r="959" spans="1:13">
      <c r="A959" s="2299" t="s">
        <v>822</v>
      </c>
      <c r="B959" s="2300"/>
      <c r="C959" s="784">
        <v>16</v>
      </c>
      <c r="D959" s="785">
        <v>16</v>
      </c>
      <c r="E959" s="2367"/>
      <c r="F959" s="2383"/>
      <c r="G959" s="2368"/>
      <c r="H959" s="657"/>
      <c r="I959" s="657"/>
      <c r="J959" s="657"/>
      <c r="K959" s="657"/>
      <c r="L959" s="657"/>
      <c r="M959" s="657"/>
    </row>
    <row r="960" spans="1:13">
      <c r="A960" s="2299" t="s">
        <v>823</v>
      </c>
      <c r="B960" s="2300"/>
      <c r="C960" s="784">
        <v>20</v>
      </c>
      <c r="D960" s="785">
        <v>19.64</v>
      </c>
      <c r="E960" s="2367"/>
      <c r="F960" s="2383"/>
      <c r="G960" s="2368"/>
      <c r="H960" s="657"/>
      <c r="I960" s="657"/>
      <c r="J960" s="657"/>
      <c r="K960" s="657"/>
      <c r="L960" s="657"/>
      <c r="M960" s="657"/>
    </row>
    <row r="961" spans="1:13">
      <c r="A961" s="2299" t="s">
        <v>386</v>
      </c>
      <c r="B961" s="2300"/>
      <c r="C961" s="784">
        <v>18</v>
      </c>
      <c r="D961" s="785">
        <v>20</v>
      </c>
      <c r="E961" s="2367"/>
      <c r="F961" s="2383"/>
      <c r="G961" s="2368"/>
      <c r="H961" s="657"/>
      <c r="I961" s="657"/>
      <c r="J961" s="657"/>
      <c r="K961" s="657"/>
      <c r="L961" s="657"/>
      <c r="M961" s="657"/>
    </row>
    <row r="962" spans="1:13">
      <c r="A962" s="2299" t="s">
        <v>824</v>
      </c>
      <c r="B962" s="2300"/>
      <c r="C962" s="784">
        <v>11.7</v>
      </c>
      <c r="D962" s="785">
        <v>7.7</v>
      </c>
      <c r="E962" s="2367"/>
      <c r="F962" s="2383"/>
      <c r="G962" s="2368"/>
      <c r="H962" s="657"/>
      <c r="I962" s="657"/>
      <c r="J962" s="657"/>
      <c r="K962" s="657"/>
      <c r="L962" s="657"/>
      <c r="M962" s="657"/>
    </row>
    <row r="963" spans="1:13">
      <c r="A963" s="2299" t="s">
        <v>825</v>
      </c>
      <c r="B963" s="2300"/>
      <c r="C963" s="784">
        <v>7.4</v>
      </c>
      <c r="D963" s="785">
        <v>3.18</v>
      </c>
      <c r="E963" s="2367"/>
      <c r="F963" s="2383"/>
      <c r="G963" s="2368"/>
      <c r="H963" s="657"/>
      <c r="I963" s="657"/>
      <c r="J963" s="657"/>
      <c r="K963" s="657"/>
      <c r="L963" s="657"/>
      <c r="M963" s="657"/>
    </row>
    <row r="964" spans="1:13">
      <c r="A964" s="2299" t="s">
        <v>826</v>
      </c>
      <c r="B964" s="2300"/>
      <c r="C964" s="784">
        <v>13.39</v>
      </c>
      <c r="D964" s="785">
        <v>7.68</v>
      </c>
      <c r="E964" s="2367"/>
      <c r="F964" s="2383"/>
      <c r="G964" s="2368"/>
      <c r="H964" s="657"/>
      <c r="I964" s="657"/>
      <c r="J964" s="657"/>
      <c r="K964" s="657"/>
      <c r="L964" s="657"/>
      <c r="M964" s="657"/>
    </row>
    <row r="965" spans="1:13">
      <c r="A965" s="2299" t="s">
        <v>827</v>
      </c>
      <c r="B965" s="2300"/>
      <c r="C965" s="784">
        <v>3.05</v>
      </c>
      <c r="D965" s="785">
        <v>2.78</v>
      </c>
      <c r="E965" s="2367"/>
      <c r="F965" s="2383"/>
      <c r="G965" s="2368"/>
      <c r="H965" s="657"/>
      <c r="I965" s="657"/>
      <c r="J965" s="657"/>
      <c r="K965" s="657"/>
      <c r="L965" s="657"/>
      <c r="M965" s="657"/>
    </row>
    <row r="966" spans="1:13">
      <c r="A966" s="2299" t="s">
        <v>828</v>
      </c>
      <c r="B966" s="2300"/>
      <c r="C966" s="784">
        <v>3.05</v>
      </c>
      <c r="D966" s="785">
        <v>7.68</v>
      </c>
      <c r="E966" s="2367"/>
      <c r="F966" s="2383"/>
      <c r="G966" s="2368"/>
      <c r="H966" s="657"/>
      <c r="I966" s="657"/>
      <c r="J966" s="657"/>
      <c r="K966" s="657"/>
      <c r="L966" s="657"/>
      <c r="M966" s="657"/>
    </row>
    <row r="967" spans="1:13">
      <c r="A967" s="2299" t="s">
        <v>829</v>
      </c>
      <c r="B967" s="2300"/>
      <c r="C967" s="784">
        <v>13.39</v>
      </c>
      <c r="D967" s="785">
        <v>2.78</v>
      </c>
      <c r="E967" s="2367"/>
      <c r="F967" s="2383"/>
      <c r="G967" s="2368"/>
      <c r="H967" s="657"/>
      <c r="I967" s="657"/>
      <c r="J967" s="657"/>
      <c r="K967" s="657"/>
      <c r="L967" s="657"/>
      <c r="M967" s="657"/>
    </row>
    <row r="968" spans="1:13">
      <c r="A968" s="2346" t="s">
        <v>888</v>
      </c>
      <c r="B968" s="2163"/>
      <c r="C968" s="784">
        <v>13.3</v>
      </c>
      <c r="D968" s="785">
        <v>10.61</v>
      </c>
      <c r="E968" s="2367"/>
      <c r="F968" s="2383"/>
      <c r="G968" s="2368"/>
      <c r="H968" s="657"/>
      <c r="I968" s="657"/>
      <c r="J968" s="657"/>
      <c r="K968" s="657"/>
      <c r="L968" s="657"/>
      <c r="M968" s="657"/>
    </row>
    <row r="969" spans="1:13" ht="15.75" thickBot="1">
      <c r="A969" s="786"/>
      <c r="B969" s="787"/>
      <c r="C969" s="788" t="s">
        <v>307</v>
      </c>
      <c r="D969" s="789">
        <f>SUM(D956:D968)</f>
        <v>215.84000000000003</v>
      </c>
      <c r="E969" s="2303"/>
      <c r="F969" s="2304"/>
      <c r="G969" s="2305"/>
      <c r="H969" s="657"/>
      <c r="I969" s="657"/>
      <c r="J969" s="657"/>
      <c r="K969" s="657"/>
      <c r="L969" s="657"/>
      <c r="M969" s="657"/>
    </row>
    <row r="970" spans="1:13" ht="15.75" thickBot="1">
      <c r="A970" s="719"/>
      <c r="B970" s="720"/>
      <c r="C970" s="720"/>
      <c r="D970" s="720"/>
      <c r="E970" s="720"/>
      <c r="F970" s="720"/>
      <c r="G970" s="721"/>
      <c r="H970" s="657"/>
      <c r="I970" s="657"/>
      <c r="J970" s="657"/>
      <c r="K970" s="657"/>
      <c r="L970" s="657"/>
      <c r="M970" s="657"/>
    </row>
    <row r="971" spans="1:13" ht="15.75" thickBot="1">
      <c r="A971" s="671" t="s">
        <v>590</v>
      </c>
      <c r="B971" s="2180" t="s">
        <v>892</v>
      </c>
      <c r="C971" s="2181"/>
      <c r="D971" s="2181"/>
      <c r="E971" s="2181"/>
      <c r="F971" s="2181"/>
      <c r="G971" s="2182"/>
      <c r="H971" s="657"/>
      <c r="I971" s="657"/>
      <c r="J971" s="657"/>
      <c r="K971" s="657"/>
      <c r="L971" s="657"/>
      <c r="M971" s="657"/>
    </row>
    <row r="972" spans="1:13">
      <c r="A972" s="2248" t="s">
        <v>303</v>
      </c>
      <c r="B972" s="2249"/>
      <c r="C972" s="2249"/>
      <c r="D972" s="2249"/>
      <c r="E972" s="2249"/>
      <c r="F972" s="2249"/>
      <c r="G972" s="2250"/>
      <c r="H972" s="657"/>
      <c r="I972" s="657"/>
      <c r="J972" s="657"/>
      <c r="K972" s="657"/>
      <c r="L972" s="657"/>
      <c r="M972" s="657"/>
    </row>
    <row r="973" spans="1:13">
      <c r="A973" s="2241" t="s">
        <v>385</v>
      </c>
      <c r="B973" s="2228"/>
      <c r="C973" s="2228"/>
      <c r="D973" s="2228"/>
      <c r="E973" s="2228"/>
      <c r="F973" s="2228"/>
      <c r="G973" s="2229"/>
      <c r="H973" s="657"/>
      <c r="I973" s="657"/>
      <c r="J973" s="657"/>
      <c r="K973" s="657"/>
      <c r="L973" s="657"/>
      <c r="M973" s="657"/>
    </row>
    <row r="974" spans="1:13">
      <c r="A974" s="686" t="s">
        <v>322</v>
      </c>
      <c r="B974" s="687" t="s">
        <v>322</v>
      </c>
      <c r="C974" s="687" t="s">
        <v>332</v>
      </c>
      <c r="D974" s="687" t="s">
        <v>333</v>
      </c>
      <c r="E974" s="687" t="s">
        <v>334</v>
      </c>
      <c r="F974" s="687" t="s">
        <v>335</v>
      </c>
      <c r="G974" s="745" t="s">
        <v>336</v>
      </c>
      <c r="H974" s="657"/>
      <c r="I974" s="657"/>
      <c r="J974" s="657"/>
      <c r="K974" s="657"/>
      <c r="L974" s="657"/>
      <c r="M974" s="657"/>
    </row>
    <row r="975" spans="1:13">
      <c r="A975" s="2201" t="s">
        <v>731</v>
      </c>
      <c r="B975" s="2202"/>
      <c r="C975" s="2202"/>
      <c r="D975" s="2202"/>
      <c r="E975" s="2202"/>
      <c r="F975" s="2202"/>
      <c r="G975" s="2203"/>
      <c r="H975" s="657"/>
      <c r="I975" s="657"/>
      <c r="J975" s="657"/>
      <c r="K975" s="657"/>
      <c r="L975" s="657"/>
      <c r="M975" s="657"/>
    </row>
    <row r="976" spans="1:13" ht="24">
      <c r="A976" s="701" t="s">
        <v>793</v>
      </c>
      <c r="B976" s="723">
        <f>4.75+9.5+4.75</f>
        <v>19</v>
      </c>
      <c r="C976" s="723">
        <v>0.15</v>
      </c>
      <c r="D976" s="723">
        <f t="shared" ref="D976:D981" si="42">C976*B976</f>
        <v>2.85</v>
      </c>
      <c r="E976" s="723"/>
      <c r="F976" s="723"/>
      <c r="G976" s="748">
        <f t="shared" ref="G976:G981" si="43">D976-F976</f>
        <v>2.85</v>
      </c>
      <c r="H976" s="657"/>
      <c r="I976" s="657"/>
      <c r="J976" s="657"/>
      <c r="K976" s="657"/>
      <c r="L976" s="657"/>
      <c r="M976" s="657"/>
    </row>
    <row r="977" spans="1:13" ht="36">
      <c r="A977" s="701" t="s">
        <v>794</v>
      </c>
      <c r="B977" s="723">
        <f>4.15+4+1.6+3.08+4.5+1.65+5.15+4</f>
        <v>28.129999999999995</v>
      </c>
      <c r="C977" s="723">
        <v>0.15</v>
      </c>
      <c r="D977" s="723">
        <f t="shared" si="42"/>
        <v>4.2194999999999991</v>
      </c>
      <c r="E977" s="723"/>
      <c r="F977" s="723"/>
      <c r="G977" s="748">
        <f t="shared" si="43"/>
        <v>4.2194999999999991</v>
      </c>
      <c r="H977" s="657"/>
      <c r="I977" s="657"/>
      <c r="J977" s="657"/>
      <c r="K977" s="657"/>
      <c r="L977" s="657"/>
      <c r="M977" s="657"/>
    </row>
    <row r="978" spans="1:13" ht="24">
      <c r="A978" s="701" t="s">
        <v>795</v>
      </c>
      <c r="B978" s="723">
        <f>3.85+3.85+9.8+9.8</f>
        <v>27.3</v>
      </c>
      <c r="C978" s="723">
        <v>0.15</v>
      </c>
      <c r="D978" s="723">
        <f t="shared" si="42"/>
        <v>4.0949999999999998</v>
      </c>
      <c r="E978" s="723"/>
      <c r="F978" s="723"/>
      <c r="G978" s="748">
        <f t="shared" si="43"/>
        <v>4.0949999999999998</v>
      </c>
      <c r="H978" s="657"/>
      <c r="I978" s="657"/>
      <c r="J978" s="657"/>
      <c r="K978" s="657"/>
      <c r="L978" s="657"/>
      <c r="M978" s="657"/>
    </row>
    <row r="979" spans="1:13" ht="36">
      <c r="A979" s="701" t="s">
        <v>796</v>
      </c>
      <c r="B979" s="723">
        <f>7.8+7.5+17.1+3.35</f>
        <v>35.750000000000007</v>
      </c>
      <c r="C979" s="723">
        <v>0.15</v>
      </c>
      <c r="D979" s="723">
        <f t="shared" si="42"/>
        <v>5.3625000000000007</v>
      </c>
      <c r="E979" s="723"/>
      <c r="F979" s="723"/>
      <c r="G979" s="748">
        <f t="shared" si="43"/>
        <v>5.3625000000000007</v>
      </c>
      <c r="H979" s="657"/>
      <c r="I979" s="657"/>
      <c r="J979" s="657"/>
      <c r="K979" s="657"/>
      <c r="L979" s="657"/>
      <c r="M979" s="657"/>
    </row>
    <row r="980" spans="1:13" ht="24">
      <c r="A980" s="701" t="s">
        <v>797</v>
      </c>
      <c r="B980" s="723">
        <f>3.35+1.8</f>
        <v>5.15</v>
      </c>
      <c r="C980" s="723">
        <v>1.28</v>
      </c>
      <c r="D980" s="723">
        <f t="shared" si="42"/>
        <v>6.5920000000000005</v>
      </c>
      <c r="E980" s="723"/>
      <c r="F980" s="723"/>
      <c r="G980" s="748">
        <f t="shared" si="43"/>
        <v>6.5920000000000005</v>
      </c>
      <c r="H980" s="657"/>
      <c r="I980" s="657"/>
      <c r="J980" s="657"/>
      <c r="K980" s="657"/>
      <c r="L980" s="657"/>
      <c r="M980" s="657"/>
    </row>
    <row r="981" spans="1:13" ht="24">
      <c r="A981" s="701" t="s">
        <v>798</v>
      </c>
      <c r="B981" s="723">
        <f>7.8+7.5</f>
        <v>15.3</v>
      </c>
      <c r="C981" s="723">
        <v>1.28</v>
      </c>
      <c r="D981" s="723">
        <f t="shared" si="42"/>
        <v>19.584</v>
      </c>
      <c r="E981" s="723"/>
      <c r="F981" s="723"/>
      <c r="G981" s="748">
        <f t="shared" si="43"/>
        <v>19.584</v>
      </c>
      <c r="H981" s="657"/>
      <c r="I981" s="657"/>
      <c r="J981" s="657"/>
      <c r="K981" s="657"/>
      <c r="L981" s="657"/>
      <c r="M981" s="657"/>
    </row>
    <row r="982" spans="1:13">
      <c r="A982" s="2312"/>
      <c r="B982" s="2283"/>
      <c r="C982" s="2283"/>
      <c r="D982" s="2283"/>
      <c r="E982" s="2283"/>
      <c r="F982" s="2283"/>
      <c r="G982" s="2284"/>
      <c r="H982" s="657"/>
      <c r="I982" s="657"/>
      <c r="J982" s="657"/>
      <c r="K982" s="657"/>
      <c r="L982" s="657"/>
      <c r="M982" s="657"/>
    </row>
    <row r="983" spans="1:13">
      <c r="A983" s="2201" t="s">
        <v>741</v>
      </c>
      <c r="B983" s="2202"/>
      <c r="C983" s="2202"/>
      <c r="D983" s="2202"/>
      <c r="E983" s="2202"/>
      <c r="F983" s="2202"/>
      <c r="G983" s="2203"/>
      <c r="H983" s="657"/>
      <c r="I983" s="657"/>
      <c r="J983" s="657"/>
      <c r="K983" s="657"/>
      <c r="L983" s="657"/>
      <c r="M983" s="657"/>
    </row>
    <row r="984" spans="1:13">
      <c r="A984" s="746">
        <v>4.1500000000000004</v>
      </c>
      <c r="B984" s="723">
        <v>4.1500000000000004</v>
      </c>
      <c r="C984" s="723">
        <v>2.2799999999999998</v>
      </c>
      <c r="D984" s="723">
        <f t="shared" ref="D984:D990" si="44">C984*B984</f>
        <v>9.4619999999999997</v>
      </c>
      <c r="E984" s="723"/>
      <c r="F984" s="723"/>
      <c r="G984" s="748">
        <f>D984*C984</f>
        <v>21.573359999999997</v>
      </c>
      <c r="H984" s="657"/>
      <c r="I984" s="657"/>
      <c r="J984" s="657"/>
      <c r="K984" s="657"/>
      <c r="L984" s="657"/>
      <c r="M984" s="657"/>
    </row>
    <row r="985" spans="1:13">
      <c r="A985" s="746">
        <v>3.35</v>
      </c>
      <c r="B985" s="723">
        <v>3.35</v>
      </c>
      <c r="C985" s="723">
        <v>4.32</v>
      </c>
      <c r="D985" s="723">
        <f t="shared" si="44"/>
        <v>14.472000000000001</v>
      </c>
      <c r="E985" s="723"/>
      <c r="F985" s="723"/>
      <c r="G985" s="748">
        <f>D985</f>
        <v>14.472000000000001</v>
      </c>
      <c r="H985" s="657"/>
      <c r="I985" s="657"/>
      <c r="J985" s="657"/>
      <c r="K985" s="657"/>
      <c r="L985" s="657"/>
      <c r="M985" s="657"/>
    </row>
    <row r="986" spans="1:13">
      <c r="A986" s="746">
        <v>2.35</v>
      </c>
      <c r="B986" s="723">
        <v>2.35</v>
      </c>
      <c r="C986" s="723">
        <v>4.32</v>
      </c>
      <c r="D986" s="723">
        <f t="shared" si="44"/>
        <v>10.152000000000001</v>
      </c>
      <c r="E986" s="747" t="s">
        <v>749</v>
      </c>
      <c r="F986" s="723">
        <f>2.2*1.1</f>
        <v>2.4200000000000004</v>
      </c>
      <c r="G986" s="748">
        <f>D986-F986</f>
        <v>7.7320000000000011</v>
      </c>
      <c r="H986" s="657"/>
      <c r="I986" s="657"/>
      <c r="J986" s="657"/>
      <c r="K986" s="657"/>
      <c r="L986" s="657"/>
      <c r="M986" s="657"/>
    </row>
    <row r="987" spans="1:13">
      <c r="A987" s="746">
        <v>4.1500000000000004</v>
      </c>
      <c r="B987" s="723">
        <v>4.1500000000000004</v>
      </c>
      <c r="C987" s="723">
        <v>1.27</v>
      </c>
      <c r="D987" s="723">
        <f t="shared" si="44"/>
        <v>5.2705000000000002</v>
      </c>
      <c r="E987" s="723"/>
      <c r="F987" s="723"/>
      <c r="G987" s="748">
        <f>D987</f>
        <v>5.2705000000000002</v>
      </c>
      <c r="H987" s="657"/>
      <c r="I987" s="657"/>
      <c r="J987" s="657"/>
      <c r="K987" s="657"/>
      <c r="L987" s="657"/>
      <c r="M987" s="657"/>
    </row>
    <row r="988" spans="1:13">
      <c r="A988" s="701" t="s">
        <v>799</v>
      </c>
      <c r="B988" s="723">
        <v>4.1500000000000004</v>
      </c>
      <c r="C988" s="723">
        <v>1.27</v>
      </c>
      <c r="D988" s="723">
        <f t="shared" si="44"/>
        <v>5.2705000000000002</v>
      </c>
      <c r="E988" s="723"/>
      <c r="F988" s="723"/>
      <c r="G988" s="748">
        <f>D988</f>
        <v>5.2705000000000002</v>
      </c>
      <c r="H988" s="657"/>
      <c r="I988" s="657"/>
      <c r="J988" s="657"/>
      <c r="K988" s="657"/>
      <c r="L988" s="657"/>
      <c r="M988" s="657"/>
    </row>
    <row r="989" spans="1:13" ht="24">
      <c r="A989" s="701" t="s">
        <v>800</v>
      </c>
      <c r="B989" s="723">
        <f>4.45+4.6+4.6</f>
        <v>13.65</v>
      </c>
      <c r="C989" s="723">
        <v>1.78</v>
      </c>
      <c r="D989" s="723">
        <f t="shared" si="44"/>
        <v>24.297000000000001</v>
      </c>
      <c r="E989" s="723"/>
      <c r="F989" s="723"/>
      <c r="G989" s="748">
        <f>D989</f>
        <v>24.297000000000001</v>
      </c>
      <c r="H989" s="657"/>
      <c r="I989" s="657"/>
      <c r="J989" s="657"/>
      <c r="K989" s="657"/>
      <c r="L989" s="657"/>
      <c r="M989" s="657"/>
    </row>
    <row r="990" spans="1:13" ht="24">
      <c r="A990" s="701" t="s">
        <v>802</v>
      </c>
      <c r="B990" s="723">
        <f>3.85+3.85</f>
        <v>7.7</v>
      </c>
      <c r="C990" s="723">
        <v>2.2799999999999998</v>
      </c>
      <c r="D990" s="723">
        <f t="shared" si="44"/>
        <v>17.555999999999997</v>
      </c>
      <c r="E990" s="723"/>
      <c r="F990" s="723"/>
      <c r="G990" s="748">
        <f>D990</f>
        <v>17.555999999999997</v>
      </c>
      <c r="H990" s="657"/>
      <c r="I990" s="657"/>
      <c r="J990" s="657"/>
      <c r="K990" s="657"/>
      <c r="L990" s="657"/>
      <c r="M990" s="657"/>
    </row>
    <row r="991" spans="1:13" ht="24">
      <c r="A991" s="806" t="s">
        <v>803</v>
      </c>
      <c r="B991" s="807">
        <v>4.5999999999999996</v>
      </c>
      <c r="C991" s="784">
        <v>1.93</v>
      </c>
      <c r="D991" s="784">
        <f>B991*C991</f>
        <v>8.8779999999999983</v>
      </c>
      <c r="E991" s="784"/>
      <c r="F991" s="784"/>
      <c r="G991" s="809">
        <f>D991-F991</f>
        <v>8.8779999999999983</v>
      </c>
      <c r="H991" s="657"/>
      <c r="I991" s="657"/>
      <c r="J991" s="657"/>
      <c r="K991" s="657"/>
      <c r="L991" s="657"/>
      <c r="M991" s="657"/>
    </row>
    <row r="992" spans="1:13">
      <c r="A992" s="2312"/>
      <c r="B992" s="2283"/>
      <c r="C992" s="2283"/>
      <c r="D992" s="2283"/>
      <c r="E992" s="2283"/>
      <c r="F992" s="2283"/>
      <c r="G992" s="2284"/>
      <c r="H992" s="657"/>
      <c r="I992" s="657"/>
      <c r="J992" s="657"/>
      <c r="K992" s="657"/>
      <c r="L992" s="657"/>
      <c r="M992" s="657"/>
    </row>
    <row r="993" spans="1:13">
      <c r="A993" s="2201" t="s">
        <v>759</v>
      </c>
      <c r="B993" s="2202"/>
      <c r="C993" s="2202"/>
      <c r="D993" s="2202"/>
      <c r="E993" s="2202"/>
      <c r="F993" s="2202"/>
      <c r="G993" s="2203"/>
      <c r="H993" s="657"/>
      <c r="I993" s="657"/>
      <c r="J993" s="657"/>
      <c r="K993" s="657"/>
      <c r="L993" s="657"/>
      <c r="M993" s="657"/>
    </row>
    <row r="994" spans="1:13" ht="36">
      <c r="A994" s="701" t="s">
        <v>804</v>
      </c>
      <c r="B994" s="723">
        <f>3.65+4.8</f>
        <v>8.4499999999999993</v>
      </c>
      <c r="C994" s="723">
        <v>4.32</v>
      </c>
      <c r="D994" s="723">
        <f>B994*C994</f>
        <v>36.503999999999998</v>
      </c>
      <c r="E994" s="747" t="s">
        <v>805</v>
      </c>
      <c r="F994" s="723">
        <f>(2.2*1.1)+(2.3+1.1)</f>
        <v>5.82</v>
      </c>
      <c r="G994" s="748">
        <f>D994-F994</f>
        <v>30.683999999999997</v>
      </c>
      <c r="H994" s="657"/>
      <c r="I994" s="657"/>
      <c r="J994" s="657"/>
      <c r="K994" s="657"/>
      <c r="L994" s="657"/>
      <c r="M994" s="657"/>
    </row>
    <row r="995" spans="1:13" ht="60">
      <c r="A995" s="701" t="s">
        <v>808</v>
      </c>
      <c r="B995" s="805">
        <f>7.8+7.8+17.25</f>
        <v>32.85</v>
      </c>
      <c r="C995" s="723">
        <v>4.32</v>
      </c>
      <c r="D995" s="723">
        <f>B995*C995</f>
        <v>141.91200000000001</v>
      </c>
      <c r="E995" s="747" t="s">
        <v>809</v>
      </c>
      <c r="F995" s="723">
        <f>((2.3*1.1)*3)+((1.1*0.6)*2)+(1.6*2.1)</f>
        <v>12.27</v>
      </c>
      <c r="G995" s="748">
        <f>D995-F995</f>
        <v>129.642</v>
      </c>
      <c r="H995" s="657"/>
      <c r="I995" s="657"/>
      <c r="J995" s="657"/>
      <c r="K995" s="657"/>
      <c r="L995" s="657"/>
      <c r="M995" s="657"/>
    </row>
    <row r="996" spans="1:13">
      <c r="A996" s="746">
        <v>5.15</v>
      </c>
      <c r="B996" s="805">
        <v>5.15</v>
      </c>
      <c r="C996" s="723">
        <v>4.2699999999999996</v>
      </c>
      <c r="D996" s="723">
        <f>B996*C996</f>
        <v>21.990500000000001</v>
      </c>
      <c r="E996" s="723"/>
      <c r="F996" s="723"/>
      <c r="G996" s="748">
        <f>D996</f>
        <v>21.990500000000001</v>
      </c>
      <c r="H996" s="657"/>
      <c r="I996" s="657"/>
      <c r="J996" s="657"/>
      <c r="K996" s="657"/>
      <c r="L996" s="657"/>
      <c r="M996" s="657"/>
    </row>
    <row r="997" spans="1:13" ht="24">
      <c r="A997" s="746">
        <v>4.1500000000000004</v>
      </c>
      <c r="B997" s="805">
        <v>4.1500000000000004</v>
      </c>
      <c r="C997" s="723">
        <v>2.84</v>
      </c>
      <c r="D997" s="723">
        <f>B997*C997</f>
        <v>11.786</v>
      </c>
      <c r="E997" s="747" t="s">
        <v>810</v>
      </c>
      <c r="F997" s="723">
        <f>(1.3*2.1)+(2.3*1.1)</f>
        <v>5.26</v>
      </c>
      <c r="G997" s="748">
        <f>D997-F997</f>
        <v>6.5259999999999998</v>
      </c>
      <c r="H997" s="657"/>
      <c r="I997" s="657"/>
      <c r="J997" s="657"/>
      <c r="K997" s="657"/>
      <c r="L997" s="657"/>
      <c r="M997" s="657"/>
    </row>
    <row r="998" spans="1:13">
      <c r="A998" s="701" t="s">
        <v>811</v>
      </c>
      <c r="B998" s="723">
        <v>7.5</v>
      </c>
      <c r="C998" s="723">
        <v>1.78</v>
      </c>
      <c r="D998" s="723">
        <f>C998*B998</f>
        <v>13.35</v>
      </c>
      <c r="E998" s="723"/>
      <c r="F998" s="723"/>
      <c r="G998" s="748">
        <f>D998-F998</f>
        <v>13.35</v>
      </c>
      <c r="H998" s="657"/>
      <c r="I998" s="657"/>
      <c r="J998" s="657"/>
      <c r="K998" s="657"/>
      <c r="L998" s="657"/>
      <c r="M998" s="657"/>
    </row>
    <row r="999" spans="1:13">
      <c r="A999" s="701" t="s">
        <v>812</v>
      </c>
      <c r="B999" s="723">
        <v>16.95</v>
      </c>
      <c r="C999" s="723">
        <v>1.28</v>
      </c>
      <c r="D999" s="723">
        <f>C999*B999</f>
        <v>21.695999999999998</v>
      </c>
      <c r="E999" s="723"/>
      <c r="F999" s="723"/>
      <c r="G999" s="748">
        <f>D999-F999</f>
        <v>21.695999999999998</v>
      </c>
      <c r="H999" s="657"/>
      <c r="I999" s="657"/>
      <c r="J999" s="657"/>
      <c r="K999" s="657"/>
      <c r="L999" s="657"/>
      <c r="M999" s="657"/>
    </row>
    <row r="1000" spans="1:13" ht="24">
      <c r="A1000" s="701" t="s">
        <v>813</v>
      </c>
      <c r="B1000" s="723">
        <f>9.5+9.5+9.5</f>
        <v>28.5</v>
      </c>
      <c r="C1000" s="723">
        <v>2.2799999999999998</v>
      </c>
      <c r="D1000" s="723">
        <f>C1000*B1000</f>
        <v>64.97999999999999</v>
      </c>
      <c r="E1000" s="723"/>
      <c r="F1000" s="723"/>
      <c r="G1000" s="748">
        <f>D1000-F1000</f>
        <v>64.97999999999999</v>
      </c>
      <c r="H1000" s="657"/>
      <c r="I1000" s="657"/>
      <c r="J1000" s="657"/>
      <c r="K1000" s="657"/>
      <c r="L1000" s="657"/>
      <c r="M1000" s="657"/>
    </row>
    <row r="1001" spans="1:13">
      <c r="A1001" s="2312"/>
      <c r="B1001" s="2283"/>
      <c r="C1001" s="2283"/>
      <c r="D1001" s="2283"/>
      <c r="E1001" s="2283"/>
      <c r="F1001" s="2283"/>
      <c r="G1001" s="2284"/>
      <c r="H1001" s="657"/>
      <c r="I1001" s="657"/>
      <c r="J1001" s="657"/>
      <c r="K1001" s="657"/>
      <c r="L1001" s="657"/>
      <c r="M1001" s="657"/>
    </row>
    <row r="1002" spans="1:13">
      <c r="A1002" s="2273" t="s">
        <v>2066</v>
      </c>
      <c r="B1002" s="2190"/>
      <c r="C1002" s="2190"/>
      <c r="D1002" s="2190"/>
      <c r="E1002" s="2190"/>
      <c r="F1002" s="2190"/>
      <c r="G1002" s="2191"/>
      <c r="H1002" s="657"/>
      <c r="I1002" s="923"/>
      <c r="J1002" s="657"/>
      <c r="K1002" s="657"/>
      <c r="L1002" s="657"/>
      <c r="M1002" s="657"/>
    </row>
    <row r="1003" spans="1:13">
      <c r="A1003" s="2332"/>
      <c r="B1003" s="2333"/>
      <c r="C1003" s="2195" t="s">
        <v>731</v>
      </c>
      <c r="D1003" s="2196"/>
      <c r="E1003" s="2196"/>
      <c r="F1003" s="2197"/>
      <c r="G1003" s="748"/>
      <c r="H1003" s="657"/>
      <c r="I1003" s="657"/>
      <c r="J1003" s="657"/>
      <c r="K1003" s="657"/>
      <c r="L1003" s="657"/>
      <c r="M1003" s="657"/>
    </row>
    <row r="1004" spans="1:13">
      <c r="A1004" s="2309"/>
      <c r="B1004" s="2334"/>
      <c r="C1004" s="2198" t="s">
        <v>307</v>
      </c>
      <c r="D1004" s="2199"/>
      <c r="E1004" s="2199"/>
      <c r="F1004" s="2200"/>
      <c r="G1004" s="811">
        <f>ROUNDUP(G976+G977+G978+G979+G980+G981,2)</f>
        <v>42.71</v>
      </c>
      <c r="H1004" s="657"/>
      <c r="I1004" s="657"/>
      <c r="J1004" s="657"/>
      <c r="K1004" s="657"/>
      <c r="L1004" s="657"/>
      <c r="M1004" s="657"/>
    </row>
    <row r="1005" spans="1:13">
      <c r="A1005" s="2309"/>
      <c r="B1005" s="2334"/>
      <c r="C1005" s="2195" t="s">
        <v>741</v>
      </c>
      <c r="D1005" s="2196"/>
      <c r="E1005" s="2196"/>
      <c r="F1005" s="2197"/>
      <c r="G1005" s="812"/>
      <c r="H1005" s="657"/>
      <c r="I1005" s="657"/>
      <c r="J1005" s="657"/>
      <c r="K1005" s="657"/>
      <c r="L1005" s="657"/>
      <c r="M1005" s="657"/>
    </row>
    <row r="1006" spans="1:13">
      <c r="A1006" s="2309"/>
      <c r="B1006" s="2334"/>
      <c r="C1006" s="2198" t="s">
        <v>307</v>
      </c>
      <c r="D1006" s="2199"/>
      <c r="E1006" s="2199"/>
      <c r="F1006" s="2200"/>
      <c r="G1006" s="811">
        <f>ROUNDUP(G984+G985+G986+G987+G988+G989+G990+G991,2)</f>
        <v>105.05000000000001</v>
      </c>
      <c r="H1006" s="657"/>
      <c r="I1006" s="657"/>
      <c r="J1006" s="657"/>
      <c r="K1006" s="657"/>
      <c r="L1006" s="657"/>
      <c r="M1006" s="657"/>
    </row>
    <row r="1007" spans="1:13">
      <c r="A1007" s="2309"/>
      <c r="B1007" s="2334"/>
      <c r="C1007" s="2195" t="s">
        <v>759</v>
      </c>
      <c r="D1007" s="2196"/>
      <c r="E1007" s="2196"/>
      <c r="F1007" s="2197"/>
      <c r="G1007" s="812"/>
      <c r="H1007" s="657"/>
      <c r="I1007" s="657"/>
      <c r="J1007" s="657"/>
      <c r="K1007" s="657"/>
      <c r="L1007" s="657"/>
      <c r="M1007" s="657"/>
    </row>
    <row r="1008" spans="1:13">
      <c r="A1008" s="2335"/>
      <c r="B1008" s="2336"/>
      <c r="C1008" s="2198" t="s">
        <v>307</v>
      </c>
      <c r="D1008" s="2199"/>
      <c r="E1008" s="2199"/>
      <c r="F1008" s="2200"/>
      <c r="G1008" s="811">
        <f>ROUNDUP(G994+G995+G996+G997+G998+G999+G1000,2)</f>
        <v>288.87</v>
      </c>
      <c r="H1008" s="657"/>
      <c r="I1008" s="657"/>
      <c r="J1008" s="657"/>
      <c r="K1008" s="657"/>
      <c r="L1008" s="657"/>
      <c r="M1008" s="657"/>
    </row>
    <row r="1009" spans="1:13" ht="15.75" thickBot="1">
      <c r="A1009" s="2318" t="s">
        <v>340</v>
      </c>
      <c r="B1009" s="2319"/>
      <c r="C1009" s="2319"/>
      <c r="D1009" s="2319"/>
      <c r="E1009" s="2319"/>
      <c r="F1009" s="2320"/>
      <c r="G1009" s="832">
        <f>ROUNDUP(G1004+G1006+G1008,2)</f>
        <v>436.63</v>
      </c>
      <c r="H1009" s="657"/>
      <c r="I1009" s="657"/>
      <c r="J1009" s="657"/>
      <c r="K1009" s="657"/>
      <c r="L1009" s="657"/>
      <c r="M1009" s="657"/>
    </row>
    <row r="1010" spans="1:13" ht="15.75" thickBot="1">
      <c r="A1010" s="852"/>
      <c r="B1010" s="853"/>
      <c r="C1010" s="853"/>
      <c r="D1010" s="853"/>
      <c r="E1010" s="853"/>
      <c r="F1010" s="853"/>
      <c r="G1010" s="854"/>
      <c r="H1010" s="657"/>
      <c r="I1010" s="657"/>
      <c r="J1010" s="657"/>
      <c r="K1010" s="657"/>
      <c r="L1010" s="657"/>
      <c r="M1010" s="657"/>
    </row>
    <row r="1011" spans="1:13" ht="15.75" thickBot="1">
      <c r="A1011" s="671" t="s">
        <v>591</v>
      </c>
      <c r="B1011" s="2180" t="s">
        <v>893</v>
      </c>
      <c r="C1011" s="2181"/>
      <c r="D1011" s="2181"/>
      <c r="E1011" s="2181"/>
      <c r="F1011" s="2181"/>
      <c r="G1011" s="2182"/>
      <c r="H1011" s="657"/>
      <c r="I1011" s="657"/>
      <c r="J1011" s="657"/>
      <c r="K1011" s="657"/>
      <c r="L1011" s="657"/>
      <c r="M1011" s="657"/>
    </row>
    <row r="1012" spans="1:13">
      <c r="A1012" s="2248" t="s">
        <v>303</v>
      </c>
      <c r="B1012" s="2249"/>
      <c r="C1012" s="2249"/>
      <c r="D1012" s="2249"/>
      <c r="E1012" s="2249"/>
      <c r="F1012" s="2249"/>
      <c r="G1012" s="2250"/>
      <c r="H1012" s="657"/>
      <c r="I1012" s="657"/>
      <c r="J1012" s="657"/>
      <c r="K1012" s="657"/>
      <c r="L1012" s="657"/>
      <c r="M1012" s="657"/>
    </row>
    <row r="1013" spans="1:13">
      <c r="A1013" s="2241" t="s">
        <v>385</v>
      </c>
      <c r="B1013" s="2228"/>
      <c r="C1013" s="2228"/>
      <c r="D1013" s="2228"/>
      <c r="E1013" s="2228"/>
      <c r="F1013" s="2228"/>
      <c r="G1013" s="2229"/>
      <c r="H1013" s="657"/>
      <c r="I1013" s="657"/>
      <c r="J1013" s="657"/>
      <c r="K1013" s="657"/>
      <c r="L1013" s="657"/>
      <c r="M1013" s="657"/>
    </row>
    <row r="1014" spans="1:13">
      <c r="A1014" s="686" t="s">
        <v>322</v>
      </c>
      <c r="B1014" s="687" t="s">
        <v>322</v>
      </c>
      <c r="C1014" s="687" t="s">
        <v>332</v>
      </c>
      <c r="D1014" s="687" t="s">
        <v>333</v>
      </c>
      <c r="E1014" s="687" t="s">
        <v>334</v>
      </c>
      <c r="F1014" s="687" t="s">
        <v>335</v>
      </c>
      <c r="G1014" s="745" t="s">
        <v>336</v>
      </c>
      <c r="H1014" s="657"/>
      <c r="I1014" s="657"/>
      <c r="J1014" s="657"/>
      <c r="K1014" s="657"/>
      <c r="L1014" s="657"/>
      <c r="M1014" s="657"/>
    </row>
    <row r="1015" spans="1:13">
      <c r="A1015" s="2201" t="s">
        <v>731</v>
      </c>
      <c r="B1015" s="2202"/>
      <c r="C1015" s="2202"/>
      <c r="D1015" s="2202"/>
      <c r="E1015" s="2202"/>
      <c r="F1015" s="2202"/>
      <c r="G1015" s="2203"/>
      <c r="H1015" s="657"/>
      <c r="I1015" s="657"/>
      <c r="J1015" s="657"/>
      <c r="K1015" s="657"/>
      <c r="L1015" s="657"/>
      <c r="M1015" s="657"/>
    </row>
    <row r="1016" spans="1:13" ht="24">
      <c r="A1016" s="701" t="s">
        <v>793</v>
      </c>
      <c r="B1016" s="723">
        <f>4.75+9.5+4.75</f>
        <v>19</v>
      </c>
      <c r="C1016" s="723">
        <v>0.15</v>
      </c>
      <c r="D1016" s="723">
        <f t="shared" ref="D1016:D1021" si="45">C1016*B1016</f>
        <v>2.85</v>
      </c>
      <c r="E1016" s="723"/>
      <c r="F1016" s="723"/>
      <c r="G1016" s="748">
        <f t="shared" ref="G1016:G1021" si="46">D1016-F1016</f>
        <v>2.85</v>
      </c>
      <c r="H1016" s="657"/>
      <c r="I1016" s="657"/>
      <c r="J1016" s="657"/>
      <c r="K1016" s="657"/>
      <c r="L1016" s="657"/>
      <c r="M1016" s="657"/>
    </row>
    <row r="1017" spans="1:13" ht="36">
      <c r="A1017" s="701" t="s">
        <v>794</v>
      </c>
      <c r="B1017" s="723">
        <f>4.15+4+1.6+3.08+4.5+1.65+5.15+4</f>
        <v>28.129999999999995</v>
      </c>
      <c r="C1017" s="723">
        <v>0.15</v>
      </c>
      <c r="D1017" s="723">
        <f t="shared" si="45"/>
        <v>4.2194999999999991</v>
      </c>
      <c r="E1017" s="723"/>
      <c r="F1017" s="723"/>
      <c r="G1017" s="748">
        <f t="shared" si="46"/>
        <v>4.2194999999999991</v>
      </c>
      <c r="H1017" s="657"/>
      <c r="I1017" s="657"/>
      <c r="J1017" s="657"/>
      <c r="K1017" s="657"/>
      <c r="L1017" s="657"/>
      <c r="M1017" s="657"/>
    </row>
    <row r="1018" spans="1:13" ht="24">
      <c r="A1018" s="701" t="s">
        <v>795</v>
      </c>
      <c r="B1018" s="723">
        <f>3.85+3.85+9.8+9.8</f>
        <v>27.3</v>
      </c>
      <c r="C1018" s="723">
        <v>0.15</v>
      </c>
      <c r="D1018" s="723">
        <f t="shared" si="45"/>
        <v>4.0949999999999998</v>
      </c>
      <c r="E1018" s="723"/>
      <c r="F1018" s="723"/>
      <c r="G1018" s="748">
        <f t="shared" si="46"/>
        <v>4.0949999999999998</v>
      </c>
      <c r="H1018" s="657"/>
      <c r="I1018" s="657"/>
      <c r="J1018" s="657"/>
      <c r="K1018" s="657"/>
      <c r="L1018" s="657"/>
      <c r="M1018" s="657"/>
    </row>
    <row r="1019" spans="1:13" ht="36">
      <c r="A1019" s="701" t="s">
        <v>796</v>
      </c>
      <c r="B1019" s="723">
        <f>7.8+7.5+17.1+3.35</f>
        <v>35.750000000000007</v>
      </c>
      <c r="C1019" s="723">
        <v>0.15</v>
      </c>
      <c r="D1019" s="723">
        <f t="shared" si="45"/>
        <v>5.3625000000000007</v>
      </c>
      <c r="E1019" s="723"/>
      <c r="F1019" s="723"/>
      <c r="G1019" s="748">
        <f t="shared" si="46"/>
        <v>5.3625000000000007</v>
      </c>
      <c r="H1019" s="657"/>
      <c r="I1019" s="657"/>
      <c r="J1019" s="657"/>
      <c r="K1019" s="657"/>
      <c r="L1019" s="657"/>
      <c r="M1019" s="657"/>
    </row>
    <row r="1020" spans="1:13" ht="24">
      <c r="A1020" s="701" t="s">
        <v>797</v>
      </c>
      <c r="B1020" s="723">
        <f>3.35+1.8</f>
        <v>5.15</v>
      </c>
      <c r="C1020" s="723">
        <v>1.28</v>
      </c>
      <c r="D1020" s="723">
        <f t="shared" si="45"/>
        <v>6.5920000000000005</v>
      </c>
      <c r="E1020" s="723"/>
      <c r="F1020" s="723"/>
      <c r="G1020" s="748">
        <f t="shared" si="46"/>
        <v>6.5920000000000005</v>
      </c>
      <c r="H1020" s="657"/>
      <c r="I1020" s="657"/>
      <c r="J1020" s="657"/>
      <c r="K1020" s="657"/>
      <c r="L1020" s="657"/>
      <c r="M1020" s="657"/>
    </row>
    <row r="1021" spans="1:13" ht="24">
      <c r="A1021" s="701" t="s">
        <v>798</v>
      </c>
      <c r="B1021" s="723">
        <f>7.8+7.5</f>
        <v>15.3</v>
      </c>
      <c r="C1021" s="723">
        <v>1.28</v>
      </c>
      <c r="D1021" s="723">
        <f t="shared" si="45"/>
        <v>19.584</v>
      </c>
      <c r="E1021" s="723"/>
      <c r="F1021" s="723"/>
      <c r="G1021" s="748">
        <f t="shared" si="46"/>
        <v>19.584</v>
      </c>
      <c r="H1021" s="657"/>
      <c r="I1021" s="657"/>
      <c r="J1021" s="657"/>
      <c r="K1021" s="657"/>
      <c r="L1021" s="657"/>
      <c r="M1021" s="657"/>
    </row>
    <row r="1022" spans="1:13">
      <c r="A1022" s="2312"/>
      <c r="B1022" s="2283"/>
      <c r="C1022" s="2283"/>
      <c r="D1022" s="2283"/>
      <c r="E1022" s="2283"/>
      <c r="F1022" s="2283"/>
      <c r="G1022" s="2284"/>
      <c r="H1022" s="657"/>
      <c r="I1022" s="657"/>
      <c r="J1022" s="657"/>
      <c r="K1022" s="657"/>
      <c r="L1022" s="657"/>
      <c r="M1022" s="657"/>
    </row>
    <row r="1023" spans="1:13">
      <c r="A1023" s="2201" t="s">
        <v>741</v>
      </c>
      <c r="B1023" s="2202"/>
      <c r="C1023" s="2202"/>
      <c r="D1023" s="2202"/>
      <c r="E1023" s="2202"/>
      <c r="F1023" s="2202"/>
      <c r="G1023" s="2203"/>
      <c r="H1023" s="657"/>
      <c r="I1023" s="657"/>
      <c r="J1023" s="657"/>
      <c r="K1023" s="657"/>
      <c r="L1023" s="657"/>
      <c r="M1023" s="657"/>
    </row>
    <row r="1024" spans="1:13">
      <c r="A1024" s="746">
        <v>4.1500000000000004</v>
      </c>
      <c r="B1024" s="723">
        <v>4.1500000000000004</v>
      </c>
      <c r="C1024" s="723">
        <v>2.2799999999999998</v>
      </c>
      <c r="D1024" s="723">
        <f t="shared" ref="D1024:D1030" si="47">C1024*B1024</f>
        <v>9.4619999999999997</v>
      </c>
      <c r="E1024" s="723"/>
      <c r="F1024" s="723"/>
      <c r="G1024" s="748">
        <f>D1024*C1024</f>
        <v>21.573359999999997</v>
      </c>
      <c r="H1024" s="657"/>
      <c r="I1024" s="657"/>
      <c r="J1024" s="657"/>
      <c r="K1024" s="657"/>
      <c r="L1024" s="657"/>
      <c r="M1024" s="657"/>
    </row>
    <row r="1025" spans="1:13">
      <c r="A1025" s="746">
        <v>3.35</v>
      </c>
      <c r="B1025" s="723">
        <v>3.35</v>
      </c>
      <c r="C1025" s="723">
        <v>4.32</v>
      </c>
      <c r="D1025" s="723">
        <f t="shared" si="47"/>
        <v>14.472000000000001</v>
      </c>
      <c r="E1025" s="723"/>
      <c r="F1025" s="723"/>
      <c r="G1025" s="748">
        <f>D1025</f>
        <v>14.472000000000001</v>
      </c>
      <c r="H1025" s="657"/>
      <c r="I1025" s="657"/>
      <c r="J1025" s="657"/>
      <c r="K1025" s="657"/>
      <c r="L1025" s="657"/>
      <c r="M1025" s="657"/>
    </row>
    <row r="1026" spans="1:13">
      <c r="A1026" s="746">
        <v>2.35</v>
      </c>
      <c r="B1026" s="723">
        <v>2.35</v>
      </c>
      <c r="C1026" s="723">
        <v>4.32</v>
      </c>
      <c r="D1026" s="723">
        <f t="shared" si="47"/>
        <v>10.152000000000001</v>
      </c>
      <c r="E1026" s="747" t="s">
        <v>749</v>
      </c>
      <c r="F1026" s="723">
        <f>2.2*1.1</f>
        <v>2.4200000000000004</v>
      </c>
      <c r="G1026" s="748">
        <f>D1026-F1026</f>
        <v>7.7320000000000011</v>
      </c>
      <c r="H1026" s="657"/>
      <c r="I1026" s="657"/>
      <c r="J1026" s="657"/>
      <c r="K1026" s="657"/>
      <c r="L1026" s="657"/>
      <c r="M1026" s="657"/>
    </row>
    <row r="1027" spans="1:13">
      <c r="A1027" s="746">
        <v>4.1500000000000004</v>
      </c>
      <c r="B1027" s="723">
        <v>4.1500000000000004</v>
      </c>
      <c r="C1027" s="723">
        <v>1.27</v>
      </c>
      <c r="D1027" s="723">
        <f t="shared" si="47"/>
        <v>5.2705000000000002</v>
      </c>
      <c r="E1027" s="723"/>
      <c r="F1027" s="723"/>
      <c r="G1027" s="748">
        <f>D1027</f>
        <v>5.2705000000000002</v>
      </c>
      <c r="H1027" s="657"/>
      <c r="I1027" s="657"/>
      <c r="J1027" s="657"/>
      <c r="K1027" s="657"/>
      <c r="L1027" s="657"/>
      <c r="M1027" s="657"/>
    </row>
    <row r="1028" spans="1:13">
      <c r="A1028" s="701" t="s">
        <v>799</v>
      </c>
      <c r="B1028" s="723">
        <v>4.1500000000000004</v>
      </c>
      <c r="C1028" s="723">
        <v>1.27</v>
      </c>
      <c r="D1028" s="723">
        <f t="shared" si="47"/>
        <v>5.2705000000000002</v>
      </c>
      <c r="E1028" s="723"/>
      <c r="F1028" s="723"/>
      <c r="G1028" s="748">
        <f>D1028</f>
        <v>5.2705000000000002</v>
      </c>
      <c r="H1028" s="657"/>
      <c r="I1028" s="657"/>
      <c r="J1028" s="657"/>
      <c r="K1028" s="657"/>
      <c r="L1028" s="657"/>
      <c r="M1028" s="657"/>
    </row>
    <row r="1029" spans="1:13" ht="24">
      <c r="A1029" s="701" t="s">
        <v>800</v>
      </c>
      <c r="B1029" s="723">
        <f>4.45+4.6+4.6</f>
        <v>13.65</v>
      </c>
      <c r="C1029" s="723">
        <v>1.78</v>
      </c>
      <c r="D1029" s="723">
        <f t="shared" si="47"/>
        <v>24.297000000000001</v>
      </c>
      <c r="E1029" s="723"/>
      <c r="F1029" s="723"/>
      <c r="G1029" s="748">
        <f>D1029</f>
        <v>24.297000000000001</v>
      </c>
      <c r="H1029" s="657"/>
      <c r="I1029" s="657"/>
      <c r="J1029" s="657"/>
      <c r="K1029" s="657"/>
      <c r="L1029" s="657"/>
      <c r="M1029" s="657"/>
    </row>
    <row r="1030" spans="1:13" ht="24">
      <c r="A1030" s="701" t="s">
        <v>802</v>
      </c>
      <c r="B1030" s="723">
        <f>3.85+3.85</f>
        <v>7.7</v>
      </c>
      <c r="C1030" s="723">
        <v>2.2799999999999998</v>
      </c>
      <c r="D1030" s="723">
        <f t="shared" si="47"/>
        <v>17.555999999999997</v>
      </c>
      <c r="E1030" s="723"/>
      <c r="F1030" s="723"/>
      <c r="G1030" s="748">
        <f>D1030</f>
        <v>17.555999999999997</v>
      </c>
      <c r="H1030" s="657"/>
      <c r="I1030" s="657"/>
      <c r="J1030" s="657"/>
      <c r="K1030" s="657"/>
      <c r="L1030" s="657"/>
      <c r="M1030" s="657"/>
    </row>
    <row r="1031" spans="1:13" ht="24">
      <c r="A1031" s="806" t="s">
        <v>803</v>
      </c>
      <c r="B1031" s="807">
        <v>4.5999999999999996</v>
      </c>
      <c r="C1031" s="784">
        <v>1.93</v>
      </c>
      <c r="D1031" s="784">
        <f>B1031*C1031</f>
        <v>8.8779999999999983</v>
      </c>
      <c r="E1031" s="784"/>
      <c r="F1031" s="784"/>
      <c r="G1031" s="809">
        <f>D1031-F1031</f>
        <v>8.8779999999999983</v>
      </c>
      <c r="H1031" s="657"/>
      <c r="I1031" s="657"/>
      <c r="J1031" s="657"/>
      <c r="K1031" s="657"/>
      <c r="L1031" s="657"/>
      <c r="M1031" s="657"/>
    </row>
    <row r="1032" spans="1:13">
      <c r="A1032" s="2312"/>
      <c r="B1032" s="2283"/>
      <c r="C1032" s="2283"/>
      <c r="D1032" s="2283"/>
      <c r="E1032" s="2283"/>
      <c r="F1032" s="2283"/>
      <c r="G1032" s="2284"/>
      <c r="H1032" s="657"/>
      <c r="I1032" s="657"/>
      <c r="J1032" s="657"/>
      <c r="K1032" s="657"/>
      <c r="L1032" s="657"/>
      <c r="M1032" s="657"/>
    </row>
    <row r="1033" spans="1:13">
      <c r="A1033" s="2201" t="s">
        <v>759</v>
      </c>
      <c r="B1033" s="2202"/>
      <c r="C1033" s="2202"/>
      <c r="D1033" s="2202"/>
      <c r="E1033" s="2202"/>
      <c r="F1033" s="2202"/>
      <c r="G1033" s="2203"/>
      <c r="H1033" s="657"/>
      <c r="I1033" s="657"/>
      <c r="J1033" s="657"/>
      <c r="K1033" s="657"/>
      <c r="L1033" s="657"/>
      <c r="M1033" s="657"/>
    </row>
    <row r="1034" spans="1:13" ht="36">
      <c r="A1034" s="701" t="s">
        <v>804</v>
      </c>
      <c r="B1034" s="723">
        <f>3.65+4.8</f>
        <v>8.4499999999999993</v>
      </c>
      <c r="C1034" s="723">
        <v>4.32</v>
      </c>
      <c r="D1034" s="723">
        <f>B1034*C1034</f>
        <v>36.503999999999998</v>
      </c>
      <c r="E1034" s="747" t="s">
        <v>805</v>
      </c>
      <c r="F1034" s="723">
        <f>(2.2*1.1)+(2.3+1.1)</f>
        <v>5.82</v>
      </c>
      <c r="G1034" s="748">
        <f>D1034-F1034</f>
        <v>30.683999999999997</v>
      </c>
      <c r="H1034" s="657"/>
      <c r="I1034" s="657"/>
      <c r="J1034" s="657"/>
      <c r="K1034" s="657"/>
      <c r="L1034" s="657"/>
      <c r="M1034" s="657"/>
    </row>
    <row r="1035" spans="1:13" ht="60">
      <c r="A1035" s="701" t="s">
        <v>808</v>
      </c>
      <c r="B1035" s="805">
        <f>7.8+7.8+17.25</f>
        <v>32.85</v>
      </c>
      <c r="C1035" s="723">
        <v>4.32</v>
      </c>
      <c r="D1035" s="723">
        <f>B1035*C1035</f>
        <v>141.91200000000001</v>
      </c>
      <c r="E1035" s="747" t="s">
        <v>809</v>
      </c>
      <c r="F1035" s="723">
        <f>((2.3*1.1)*3)+((1.1*0.6)*2)+(1.6*2.1)</f>
        <v>12.27</v>
      </c>
      <c r="G1035" s="748">
        <f>D1035-F1035</f>
        <v>129.642</v>
      </c>
      <c r="H1035" s="657"/>
      <c r="I1035" s="657"/>
      <c r="J1035" s="657"/>
      <c r="K1035" s="657"/>
      <c r="L1035" s="657"/>
      <c r="M1035" s="657"/>
    </row>
    <row r="1036" spans="1:13">
      <c r="A1036" s="746">
        <v>5.15</v>
      </c>
      <c r="B1036" s="805">
        <v>5.15</v>
      </c>
      <c r="C1036" s="723">
        <v>4.2699999999999996</v>
      </c>
      <c r="D1036" s="723">
        <f>B1036*C1036</f>
        <v>21.990500000000001</v>
      </c>
      <c r="E1036" s="723"/>
      <c r="F1036" s="723"/>
      <c r="G1036" s="748">
        <f>D1036</f>
        <v>21.990500000000001</v>
      </c>
      <c r="H1036" s="657"/>
      <c r="I1036" s="657"/>
      <c r="J1036" s="657"/>
      <c r="K1036" s="657"/>
      <c r="L1036" s="657"/>
      <c r="M1036" s="657"/>
    </row>
    <row r="1037" spans="1:13" ht="24">
      <c r="A1037" s="746">
        <v>4.1500000000000004</v>
      </c>
      <c r="B1037" s="805">
        <v>4.1500000000000004</v>
      </c>
      <c r="C1037" s="723">
        <v>2.84</v>
      </c>
      <c r="D1037" s="723">
        <f>B1037*C1037</f>
        <v>11.786</v>
      </c>
      <c r="E1037" s="747" t="s">
        <v>810</v>
      </c>
      <c r="F1037" s="723">
        <f>(1.3*2.1)+(2.3*1.1)</f>
        <v>5.26</v>
      </c>
      <c r="G1037" s="748">
        <f>D1037-F1037</f>
        <v>6.5259999999999998</v>
      </c>
      <c r="H1037" s="657"/>
      <c r="I1037" s="657"/>
      <c r="J1037" s="657"/>
      <c r="K1037" s="657"/>
      <c r="L1037" s="657"/>
      <c r="M1037" s="657"/>
    </row>
    <row r="1038" spans="1:13">
      <c r="A1038" s="701" t="s">
        <v>811</v>
      </c>
      <c r="B1038" s="723">
        <v>7.5</v>
      </c>
      <c r="C1038" s="723">
        <v>1.78</v>
      </c>
      <c r="D1038" s="723">
        <f>C1038*B1038</f>
        <v>13.35</v>
      </c>
      <c r="E1038" s="723"/>
      <c r="F1038" s="723"/>
      <c r="G1038" s="748">
        <f>D1038-F1038</f>
        <v>13.35</v>
      </c>
      <c r="H1038" s="657"/>
      <c r="I1038" s="657"/>
      <c r="J1038" s="657"/>
      <c r="K1038" s="657"/>
      <c r="L1038" s="657"/>
      <c r="M1038" s="657"/>
    </row>
    <row r="1039" spans="1:13">
      <c r="A1039" s="701" t="s">
        <v>812</v>
      </c>
      <c r="B1039" s="723">
        <v>16.95</v>
      </c>
      <c r="C1039" s="723">
        <v>1.28</v>
      </c>
      <c r="D1039" s="723">
        <f>C1039*B1039</f>
        <v>21.695999999999998</v>
      </c>
      <c r="E1039" s="723"/>
      <c r="F1039" s="723"/>
      <c r="G1039" s="748">
        <f>D1039-F1039</f>
        <v>21.695999999999998</v>
      </c>
      <c r="H1039" s="657"/>
      <c r="I1039" s="657"/>
      <c r="J1039" s="657"/>
      <c r="K1039" s="657"/>
      <c r="L1039" s="657"/>
      <c r="M1039" s="657"/>
    </row>
    <row r="1040" spans="1:13" ht="24">
      <c r="A1040" s="701" t="s">
        <v>813</v>
      </c>
      <c r="B1040" s="723">
        <f>9.5+9.5+9.5</f>
        <v>28.5</v>
      </c>
      <c r="C1040" s="723">
        <v>2.2799999999999998</v>
      </c>
      <c r="D1040" s="723">
        <f>C1040*B1040</f>
        <v>64.97999999999999</v>
      </c>
      <c r="E1040" s="723"/>
      <c r="F1040" s="723"/>
      <c r="G1040" s="748">
        <f>D1040-F1040</f>
        <v>64.97999999999999</v>
      </c>
      <c r="H1040" s="657"/>
      <c r="I1040" s="657"/>
      <c r="J1040" s="657"/>
      <c r="K1040" s="657"/>
      <c r="L1040" s="657"/>
      <c r="M1040" s="657"/>
    </row>
    <row r="1041" spans="1:13">
      <c r="A1041" s="2312"/>
      <c r="B1041" s="2283"/>
      <c r="C1041" s="2283"/>
      <c r="D1041" s="2283"/>
      <c r="E1041" s="2283"/>
      <c r="F1041" s="2283"/>
      <c r="G1041" s="2284"/>
      <c r="H1041" s="657"/>
      <c r="I1041" s="657"/>
      <c r="J1041" s="657"/>
      <c r="K1041" s="657"/>
      <c r="L1041" s="657"/>
      <c r="M1041" s="657"/>
    </row>
    <row r="1042" spans="1:13">
      <c r="A1042" s="2384" t="s">
        <v>2067</v>
      </c>
      <c r="B1042" s="2385"/>
      <c r="C1042" s="2385"/>
      <c r="D1042" s="2385"/>
      <c r="E1042" s="2385"/>
      <c r="F1042" s="2385"/>
      <c r="G1042" s="2386"/>
      <c r="H1042" s="657"/>
      <c r="I1042" s="923"/>
      <c r="J1042" s="657"/>
      <c r="K1042" s="657"/>
      <c r="L1042" s="657"/>
      <c r="M1042" s="657"/>
    </row>
    <row r="1043" spans="1:13">
      <c r="A1043" s="2332"/>
      <c r="B1043" s="2333"/>
      <c r="C1043" s="2195" t="s">
        <v>731</v>
      </c>
      <c r="D1043" s="2196"/>
      <c r="E1043" s="2196"/>
      <c r="F1043" s="2197"/>
      <c r="G1043" s="748"/>
      <c r="H1043" s="657"/>
      <c r="I1043" s="657"/>
      <c r="J1043" s="657"/>
      <c r="K1043" s="657"/>
      <c r="L1043" s="657"/>
      <c r="M1043" s="657"/>
    </row>
    <row r="1044" spans="1:13">
      <c r="A1044" s="2309"/>
      <c r="B1044" s="2334"/>
      <c r="C1044" s="2198" t="s">
        <v>307</v>
      </c>
      <c r="D1044" s="2199"/>
      <c r="E1044" s="2199"/>
      <c r="F1044" s="2200"/>
      <c r="G1044" s="811">
        <f>ROUNDUP(G1016+G1017+G1018+G1019+G1020+G1021,2)</f>
        <v>42.71</v>
      </c>
      <c r="H1044" s="657"/>
      <c r="I1044" s="657"/>
      <c r="J1044" s="657"/>
      <c r="K1044" s="657"/>
      <c r="L1044" s="657"/>
      <c r="M1044" s="657"/>
    </row>
    <row r="1045" spans="1:13">
      <c r="A1045" s="2309"/>
      <c r="B1045" s="2334"/>
      <c r="C1045" s="2195" t="s">
        <v>741</v>
      </c>
      <c r="D1045" s="2196"/>
      <c r="E1045" s="2196"/>
      <c r="F1045" s="2197"/>
      <c r="G1045" s="812"/>
      <c r="H1045" s="657"/>
      <c r="I1045" s="657"/>
      <c r="J1045" s="657"/>
      <c r="K1045" s="657"/>
      <c r="L1045" s="657"/>
      <c r="M1045" s="657"/>
    </row>
    <row r="1046" spans="1:13">
      <c r="A1046" s="2309"/>
      <c r="B1046" s="2334"/>
      <c r="C1046" s="2198" t="s">
        <v>307</v>
      </c>
      <c r="D1046" s="2199"/>
      <c r="E1046" s="2199"/>
      <c r="F1046" s="2200"/>
      <c r="G1046" s="811">
        <f>ROUNDUP(G1024+G1025+G1026+G1027+G1028+G1029+G1030+G1031,2)</f>
        <v>105.05000000000001</v>
      </c>
      <c r="H1046" s="657"/>
      <c r="I1046" s="657"/>
      <c r="J1046" s="657"/>
      <c r="K1046" s="657"/>
      <c r="L1046" s="657"/>
      <c r="M1046" s="657"/>
    </row>
    <row r="1047" spans="1:13">
      <c r="A1047" s="2309"/>
      <c r="B1047" s="2334"/>
      <c r="C1047" s="2195" t="s">
        <v>759</v>
      </c>
      <c r="D1047" s="2196"/>
      <c r="E1047" s="2196"/>
      <c r="F1047" s="2197"/>
      <c r="G1047" s="812"/>
      <c r="H1047" s="657"/>
      <c r="I1047" s="657"/>
      <c r="J1047" s="657"/>
      <c r="K1047" s="657"/>
      <c r="L1047" s="657"/>
      <c r="M1047" s="657"/>
    </row>
    <row r="1048" spans="1:13">
      <c r="A1048" s="2335"/>
      <c r="B1048" s="2336"/>
      <c r="C1048" s="2198" t="s">
        <v>307</v>
      </c>
      <c r="D1048" s="2199"/>
      <c r="E1048" s="2199"/>
      <c r="F1048" s="2200"/>
      <c r="G1048" s="811">
        <f>ROUNDUP(G1034+G1035+G1036+G1037+G1038+G1039+G1040,2)</f>
        <v>288.87</v>
      </c>
      <c r="H1048" s="657"/>
      <c r="I1048" s="657"/>
      <c r="J1048" s="657"/>
      <c r="K1048" s="657"/>
      <c r="L1048" s="657"/>
      <c r="M1048" s="657"/>
    </row>
    <row r="1049" spans="1:13" ht="15.75" thickBot="1">
      <c r="A1049" s="2318" t="s">
        <v>340</v>
      </c>
      <c r="B1049" s="2319"/>
      <c r="C1049" s="2319"/>
      <c r="D1049" s="2319"/>
      <c r="E1049" s="2319"/>
      <c r="F1049" s="2320"/>
      <c r="G1049" s="832">
        <f>ROUNDUP(G1044+G1046+G1048,2)</f>
        <v>436.63</v>
      </c>
      <c r="H1049" s="657"/>
      <c r="I1049" s="657"/>
      <c r="J1049" s="657"/>
      <c r="K1049" s="657"/>
      <c r="L1049" s="657"/>
      <c r="M1049" s="657"/>
    </row>
    <row r="1050" spans="1:13" ht="15.75" thickBot="1">
      <c r="A1050" s="790"/>
      <c r="B1050" s="856"/>
      <c r="C1050" s="856"/>
      <c r="D1050" s="856"/>
      <c r="E1050" s="856"/>
      <c r="F1050" s="856"/>
      <c r="G1050" s="857"/>
      <c r="H1050" s="657"/>
      <c r="I1050" s="657"/>
      <c r="J1050" s="657"/>
      <c r="K1050" s="657"/>
      <c r="L1050" s="657"/>
      <c r="M1050" s="657"/>
    </row>
    <row r="1051" spans="1:13" ht="15.75" thickBot="1">
      <c r="A1051" s="671" t="s">
        <v>592</v>
      </c>
      <c r="B1051" s="2180" t="s">
        <v>2072</v>
      </c>
      <c r="C1051" s="2181"/>
      <c r="D1051" s="2181"/>
      <c r="E1051" s="2181"/>
      <c r="F1051" s="2181"/>
      <c r="G1051" s="2182"/>
      <c r="H1051" s="657"/>
      <c r="I1051" s="657"/>
      <c r="J1051" s="657"/>
      <c r="K1051" s="657"/>
      <c r="L1051" s="657"/>
      <c r="M1051" s="657"/>
    </row>
    <row r="1052" spans="1:13">
      <c r="A1052" s="2248" t="s">
        <v>817</v>
      </c>
      <c r="B1052" s="2249"/>
      <c r="C1052" s="2249"/>
      <c r="D1052" s="2249"/>
      <c r="E1052" s="2249"/>
      <c r="F1052" s="2249"/>
      <c r="G1052" s="2250"/>
      <c r="H1052" s="657"/>
      <c r="I1052" s="657"/>
      <c r="J1052" s="657"/>
      <c r="K1052" s="657"/>
      <c r="L1052" s="657"/>
      <c r="M1052" s="657"/>
    </row>
    <row r="1053" spans="1:13">
      <c r="A1053" s="2241" t="s">
        <v>390</v>
      </c>
      <c r="B1053" s="2228"/>
      <c r="C1053" s="2228"/>
      <c r="D1053" s="2228"/>
      <c r="E1053" s="2228"/>
      <c r="F1053" s="2228"/>
      <c r="G1053" s="2229"/>
      <c r="H1053" s="657"/>
      <c r="I1053" s="657"/>
      <c r="J1053" s="657"/>
      <c r="K1053" s="657"/>
      <c r="L1053" s="657"/>
      <c r="M1053" s="657"/>
    </row>
    <row r="1054" spans="1:13">
      <c r="A1054" s="2273" t="s">
        <v>391</v>
      </c>
      <c r="B1054" s="2242"/>
      <c r="C1054" s="687" t="s">
        <v>322</v>
      </c>
      <c r="D1054" s="687" t="s">
        <v>305</v>
      </c>
      <c r="E1054" s="2189" t="s">
        <v>306</v>
      </c>
      <c r="F1054" s="2190"/>
      <c r="G1054" s="2191"/>
      <c r="H1054" s="657"/>
      <c r="I1054" s="657"/>
      <c r="J1054" s="657"/>
      <c r="K1054" s="657"/>
      <c r="L1054" s="657"/>
      <c r="M1054" s="657"/>
    </row>
    <row r="1055" spans="1:13">
      <c r="A1055" s="2299" t="s">
        <v>704</v>
      </c>
      <c r="B1055" s="2300"/>
      <c r="C1055" s="784">
        <v>36.450000000000003</v>
      </c>
      <c r="D1055" s="785">
        <v>33.979999999999997</v>
      </c>
      <c r="E1055" s="2280"/>
      <c r="F1055" s="2301"/>
      <c r="G1055" s="2302"/>
      <c r="H1055" s="657"/>
      <c r="I1055" s="657"/>
      <c r="J1055" s="657"/>
      <c r="K1055" s="657"/>
      <c r="L1055" s="657"/>
      <c r="M1055" s="657"/>
    </row>
    <row r="1056" spans="1:13">
      <c r="A1056" s="2299" t="s">
        <v>889</v>
      </c>
      <c r="B1056" s="2300"/>
      <c r="C1056" s="784">
        <f>36.45+0.8+0.8</f>
        <v>38.049999999999997</v>
      </c>
      <c r="D1056" s="785">
        <f>38.05*0.2</f>
        <v>7.6099999999999994</v>
      </c>
      <c r="E1056" s="2367"/>
      <c r="F1056" s="2383"/>
      <c r="G1056" s="2368"/>
      <c r="H1056" s="657"/>
      <c r="I1056" s="944">
        <f>36.45+38.05</f>
        <v>74.5</v>
      </c>
      <c r="J1056" s="945" t="s">
        <v>1490</v>
      </c>
      <c r="K1056" s="657"/>
      <c r="L1056" s="657"/>
      <c r="M1056" s="657"/>
    </row>
    <row r="1057" spans="1:13" ht="15.75" thickBot="1">
      <c r="A1057" s="786"/>
      <c r="B1057" s="787"/>
      <c r="C1057" s="788" t="s">
        <v>307</v>
      </c>
      <c r="D1057" s="789">
        <f>SUM(D1055:D1056)</f>
        <v>41.589999999999996</v>
      </c>
      <c r="E1057" s="2303"/>
      <c r="F1057" s="2304"/>
      <c r="G1057" s="2305"/>
      <c r="H1057" s="657"/>
      <c r="I1057" s="657"/>
      <c r="J1057" s="657"/>
      <c r="K1057" s="657"/>
      <c r="L1057" s="657"/>
      <c r="M1057" s="657"/>
    </row>
    <row r="1058" spans="1:13" ht="15.75" thickBot="1">
      <c r="A1058" s="858"/>
      <c r="B1058" s="739"/>
      <c r="C1058" s="715"/>
      <c r="D1058" s="715"/>
      <c r="E1058" s="739"/>
      <c r="F1058" s="739"/>
      <c r="G1058" s="740"/>
      <c r="H1058" s="657"/>
      <c r="I1058" s="657"/>
      <c r="J1058" s="657"/>
      <c r="K1058" s="657"/>
      <c r="L1058" s="657"/>
      <c r="M1058" s="657"/>
    </row>
    <row r="1059" spans="1:13" ht="15.75" thickBot="1">
      <c r="A1059" s="671" t="s">
        <v>593</v>
      </c>
      <c r="B1059" s="2180" t="s">
        <v>894</v>
      </c>
      <c r="C1059" s="2181"/>
      <c r="D1059" s="2181"/>
      <c r="E1059" s="2181"/>
      <c r="F1059" s="2181"/>
      <c r="G1059" s="2182"/>
      <c r="H1059" s="657"/>
      <c r="I1059" s="657"/>
      <c r="J1059" s="657"/>
      <c r="K1059" s="657"/>
      <c r="L1059" s="657"/>
      <c r="M1059" s="657"/>
    </row>
    <row r="1060" spans="1:13">
      <c r="A1060" s="2248" t="s">
        <v>817</v>
      </c>
      <c r="B1060" s="2249"/>
      <c r="C1060" s="2249"/>
      <c r="D1060" s="2249"/>
      <c r="E1060" s="2249"/>
      <c r="F1060" s="2249"/>
      <c r="G1060" s="2250"/>
      <c r="H1060" s="657"/>
      <c r="I1060" s="657"/>
      <c r="J1060" s="657"/>
      <c r="K1060" s="657"/>
      <c r="L1060" s="657"/>
      <c r="M1060" s="657"/>
    </row>
    <row r="1061" spans="1:13">
      <c r="A1061" s="2241" t="s">
        <v>390</v>
      </c>
      <c r="B1061" s="2228"/>
      <c r="C1061" s="2228"/>
      <c r="D1061" s="2228"/>
      <c r="E1061" s="2228"/>
      <c r="F1061" s="2228"/>
      <c r="G1061" s="2229"/>
      <c r="H1061" s="657"/>
      <c r="I1061" s="657"/>
      <c r="J1061" s="657"/>
      <c r="K1061" s="657"/>
      <c r="L1061" s="657"/>
      <c r="M1061" s="657"/>
    </row>
    <row r="1062" spans="1:13">
      <c r="A1062" s="2273" t="s">
        <v>391</v>
      </c>
      <c r="B1062" s="2242"/>
      <c r="C1062" s="687" t="s">
        <v>895</v>
      </c>
      <c r="D1062" s="687" t="s">
        <v>305</v>
      </c>
      <c r="E1062" s="2189" t="s">
        <v>306</v>
      </c>
      <c r="F1062" s="2190"/>
      <c r="G1062" s="2191"/>
      <c r="H1062" s="657"/>
      <c r="I1062" s="657"/>
      <c r="J1062" s="657"/>
      <c r="K1062" s="657"/>
      <c r="L1062" s="657"/>
      <c r="M1062" s="657"/>
    </row>
    <row r="1063" spans="1:13">
      <c r="A1063" s="2299" t="s">
        <v>712</v>
      </c>
      <c r="B1063" s="2300"/>
      <c r="C1063" s="808" t="s">
        <v>896</v>
      </c>
      <c r="D1063" s="785">
        <f>(1.6*2.1)*4</f>
        <v>13.440000000000001</v>
      </c>
      <c r="E1063" s="2164" t="s">
        <v>897</v>
      </c>
      <c r="F1063" s="2165"/>
      <c r="G1063" s="2166"/>
      <c r="H1063" s="657"/>
      <c r="I1063" s="657"/>
      <c r="J1063" s="657"/>
      <c r="K1063" s="657"/>
      <c r="L1063" s="657"/>
      <c r="M1063" s="657"/>
    </row>
    <row r="1064" spans="1:13" ht="15.75" thickBot="1">
      <c r="A1064" s="786"/>
      <c r="B1064" s="787"/>
      <c r="C1064" s="788" t="s">
        <v>307</v>
      </c>
      <c r="D1064" s="789">
        <f>SUM(D1063:D1063)</f>
        <v>13.440000000000001</v>
      </c>
      <c r="E1064" s="2347"/>
      <c r="F1064" s="2348"/>
      <c r="G1064" s="2349"/>
      <c r="H1064" s="657"/>
      <c r="I1064" s="657"/>
      <c r="J1064" s="657"/>
      <c r="K1064" s="657"/>
      <c r="L1064" s="657"/>
      <c r="M1064" s="657"/>
    </row>
    <row r="1065" spans="1:13" ht="15.75" thickBot="1">
      <c r="A1065" s="858"/>
      <c r="B1065" s="739"/>
      <c r="C1065" s="715"/>
      <c r="D1065" s="715"/>
      <c r="E1065" s="739"/>
      <c r="F1065" s="739"/>
      <c r="G1065" s="740"/>
      <c r="H1065" s="657"/>
      <c r="I1065" s="657"/>
      <c r="J1065" s="657"/>
      <c r="K1065" s="657"/>
      <c r="L1065" s="657"/>
      <c r="M1065" s="657"/>
    </row>
    <row r="1066" spans="1:13" ht="15.75" thickBot="1">
      <c r="A1066" s="671" t="s">
        <v>594</v>
      </c>
      <c r="B1066" s="2180" t="s">
        <v>898</v>
      </c>
      <c r="C1066" s="2181"/>
      <c r="D1066" s="2181"/>
      <c r="E1066" s="2181"/>
      <c r="F1066" s="2181"/>
      <c r="G1066" s="2182"/>
      <c r="H1066" s="657"/>
      <c r="I1066" s="657"/>
      <c r="J1066" s="657"/>
      <c r="K1066" s="657"/>
      <c r="L1066" s="657"/>
      <c r="M1066" s="657"/>
    </row>
    <row r="1067" spans="1:13">
      <c r="A1067" s="2248" t="s">
        <v>817</v>
      </c>
      <c r="B1067" s="2249"/>
      <c r="C1067" s="2249"/>
      <c r="D1067" s="2249"/>
      <c r="E1067" s="2249"/>
      <c r="F1067" s="2249"/>
      <c r="G1067" s="2250"/>
      <c r="H1067" s="657"/>
      <c r="I1067" s="657"/>
      <c r="J1067" s="657"/>
      <c r="K1067" s="657"/>
      <c r="L1067" s="657"/>
      <c r="M1067" s="657"/>
    </row>
    <row r="1068" spans="1:13">
      <c r="A1068" s="2241" t="s">
        <v>390</v>
      </c>
      <c r="B1068" s="2228"/>
      <c r="C1068" s="2228"/>
      <c r="D1068" s="2228"/>
      <c r="E1068" s="2228"/>
      <c r="F1068" s="2228"/>
      <c r="G1068" s="2229"/>
      <c r="H1068" s="657"/>
      <c r="I1068" s="657"/>
      <c r="J1068" s="657"/>
      <c r="K1068" s="657"/>
      <c r="L1068" s="657"/>
      <c r="M1068" s="657"/>
    </row>
    <row r="1069" spans="1:13">
      <c r="A1069" s="2273" t="s">
        <v>391</v>
      </c>
      <c r="B1069" s="2242"/>
      <c r="C1069" s="687" t="s">
        <v>895</v>
      </c>
      <c r="D1069" s="687" t="s">
        <v>305</v>
      </c>
      <c r="E1069" s="2189" t="s">
        <v>306</v>
      </c>
      <c r="F1069" s="2190"/>
      <c r="G1069" s="2191"/>
      <c r="H1069" s="657"/>
      <c r="I1069" s="657"/>
      <c r="J1069" s="657"/>
      <c r="K1069" s="657"/>
      <c r="L1069" s="657"/>
      <c r="M1069" s="657"/>
    </row>
    <row r="1070" spans="1:13">
      <c r="A1070" s="2299" t="s">
        <v>365</v>
      </c>
      <c r="B1070" s="2300"/>
      <c r="C1070" s="808" t="s">
        <v>899</v>
      </c>
      <c r="D1070" s="785">
        <f>(1.3*2.1)*2</f>
        <v>5.4600000000000009</v>
      </c>
      <c r="E1070" s="2164" t="s">
        <v>900</v>
      </c>
      <c r="F1070" s="2165"/>
      <c r="G1070" s="2166"/>
      <c r="H1070" s="657"/>
      <c r="I1070" s="657"/>
      <c r="J1070" s="657"/>
      <c r="K1070" s="657"/>
      <c r="L1070" s="657"/>
      <c r="M1070" s="657"/>
    </row>
    <row r="1071" spans="1:13">
      <c r="A1071" s="2299" t="s">
        <v>366</v>
      </c>
      <c r="B1071" s="2300"/>
      <c r="C1071" s="808" t="s">
        <v>901</v>
      </c>
      <c r="D1071" s="785">
        <f>(0.8*2.1)*3*2</f>
        <v>10.080000000000002</v>
      </c>
      <c r="E1071" s="2167"/>
      <c r="F1071" s="2168"/>
      <c r="G1071" s="2169"/>
      <c r="H1071" s="657"/>
      <c r="I1071" s="657"/>
      <c r="J1071" s="657"/>
      <c r="K1071" s="657"/>
      <c r="L1071" s="657"/>
      <c r="M1071" s="657"/>
    </row>
    <row r="1072" spans="1:13">
      <c r="A1072" s="2299" t="s">
        <v>367</v>
      </c>
      <c r="B1072" s="2300"/>
      <c r="C1072" s="808" t="s">
        <v>902</v>
      </c>
      <c r="D1072" s="785">
        <f>(1*2.1)*2</f>
        <v>4.2</v>
      </c>
      <c r="E1072" s="2167"/>
      <c r="F1072" s="2168"/>
      <c r="G1072" s="2169"/>
      <c r="H1072" s="657"/>
      <c r="I1072" s="657"/>
      <c r="J1072" s="657"/>
      <c r="K1072" s="657"/>
      <c r="L1072" s="657"/>
      <c r="M1072" s="657"/>
    </row>
    <row r="1073" spans="1:13">
      <c r="A1073" s="2299" t="s">
        <v>709</v>
      </c>
      <c r="B1073" s="2300"/>
      <c r="C1073" s="808" t="s">
        <v>903</v>
      </c>
      <c r="D1073" s="785">
        <f>(0.8*2.1)*2</f>
        <v>3.3600000000000003</v>
      </c>
      <c r="E1073" s="2167"/>
      <c r="F1073" s="2168"/>
      <c r="G1073" s="2169"/>
      <c r="H1073" s="657"/>
      <c r="I1073" s="657"/>
      <c r="J1073" s="657"/>
      <c r="K1073" s="657"/>
      <c r="L1073" s="657"/>
      <c r="M1073" s="657"/>
    </row>
    <row r="1074" spans="1:13" ht="15.75" thickBot="1">
      <c r="A1074" s="786"/>
      <c r="B1074" s="787"/>
      <c r="C1074" s="788" t="s">
        <v>307</v>
      </c>
      <c r="D1074" s="859">
        <f>SUM(D1070:D1073)</f>
        <v>23.1</v>
      </c>
      <c r="E1074" s="2347"/>
      <c r="F1074" s="2348"/>
      <c r="G1074" s="2349"/>
      <c r="H1074" s="657"/>
      <c r="I1074" s="657"/>
      <c r="J1074" s="657"/>
      <c r="K1074" s="657"/>
      <c r="L1074" s="657"/>
      <c r="M1074" s="657"/>
    </row>
    <row r="1075" spans="1:13" ht="15.75" thickBot="1">
      <c r="A1075" s="858"/>
      <c r="B1075" s="739"/>
      <c r="C1075" s="715"/>
      <c r="D1075" s="715"/>
      <c r="E1075" s="739"/>
      <c r="F1075" s="739"/>
      <c r="G1075" s="740"/>
      <c r="H1075" s="657"/>
      <c r="I1075" s="657"/>
      <c r="J1075" s="657"/>
      <c r="K1075" s="657"/>
      <c r="L1075" s="657"/>
      <c r="M1075" s="657"/>
    </row>
    <row r="1076" spans="1:13" ht="15.75" thickBot="1">
      <c r="A1076" s="671">
        <v>14</v>
      </c>
      <c r="B1076" s="2180" t="s">
        <v>904</v>
      </c>
      <c r="C1076" s="2181"/>
      <c r="D1076" s="2181"/>
      <c r="E1076" s="2181"/>
      <c r="F1076" s="2181"/>
      <c r="G1076" s="2182"/>
      <c r="H1076" s="657"/>
      <c r="I1076" s="657"/>
      <c r="J1076" s="657"/>
      <c r="K1076" s="657"/>
      <c r="L1076" s="657"/>
      <c r="M1076" s="657"/>
    </row>
    <row r="1077" spans="1:13" ht="15.75" thickBot="1">
      <c r="A1077" s="671" t="s">
        <v>90</v>
      </c>
      <c r="B1077" s="2180" t="s">
        <v>905</v>
      </c>
      <c r="C1077" s="2181"/>
      <c r="D1077" s="2181"/>
      <c r="E1077" s="2181"/>
      <c r="F1077" s="2181"/>
      <c r="G1077" s="2182"/>
      <c r="H1077" s="657"/>
      <c r="I1077" s="657"/>
      <c r="J1077" s="657"/>
      <c r="K1077" s="657"/>
      <c r="L1077" s="657"/>
      <c r="M1077" s="657"/>
    </row>
    <row r="1078" spans="1:13" ht="15.75" thickBot="1">
      <c r="A1078" s="671" t="s">
        <v>607</v>
      </c>
      <c r="B1078" s="2180" t="s">
        <v>906</v>
      </c>
      <c r="C1078" s="2181"/>
      <c r="D1078" s="2181"/>
      <c r="E1078" s="2181"/>
      <c r="F1078" s="2181"/>
      <c r="G1078" s="2182"/>
      <c r="H1078" s="657"/>
      <c r="I1078" s="657"/>
      <c r="J1078" s="657"/>
      <c r="K1078" s="657"/>
      <c r="L1078" s="657"/>
      <c r="M1078" s="657"/>
    </row>
    <row r="1079" spans="1:13">
      <c r="A1079" s="2192" t="s">
        <v>303</v>
      </c>
      <c r="B1079" s="2193"/>
      <c r="C1079" s="2193"/>
      <c r="D1079" s="2193"/>
      <c r="E1079" s="2193"/>
      <c r="F1079" s="2193"/>
      <c r="G1079" s="2194"/>
      <c r="H1079" s="657"/>
      <c r="I1079" s="657"/>
      <c r="J1079" s="657"/>
      <c r="K1079" s="657"/>
      <c r="L1079" s="657"/>
      <c r="M1079" s="657"/>
    </row>
    <row r="1080" spans="1:13">
      <c r="A1080" s="2241" t="s">
        <v>907</v>
      </c>
      <c r="B1080" s="2228"/>
      <c r="C1080" s="2228"/>
      <c r="D1080" s="2228"/>
      <c r="E1080" s="2228"/>
      <c r="F1080" s="2228"/>
      <c r="G1080" s="2229"/>
      <c r="H1080" s="657"/>
      <c r="I1080" s="657"/>
      <c r="J1080" s="657"/>
      <c r="K1080" s="657"/>
      <c r="L1080" s="657"/>
      <c r="M1080" s="657"/>
    </row>
    <row r="1081" spans="1:13">
      <c r="A1081" s="860" t="s">
        <v>908</v>
      </c>
      <c r="B1081" s="861" t="s">
        <v>909</v>
      </c>
      <c r="C1081" s="2390"/>
      <c r="D1081" s="2391"/>
      <c r="E1081" s="2391"/>
      <c r="F1081" s="2391"/>
      <c r="G1081" s="2392"/>
      <c r="H1081" s="657"/>
      <c r="I1081" s="657"/>
      <c r="J1081" s="657"/>
      <c r="K1081" s="657"/>
      <c r="L1081" s="657"/>
      <c r="M1081" s="657"/>
    </row>
    <row r="1082" spans="1:13">
      <c r="A1082" s="862" t="s">
        <v>828</v>
      </c>
      <c r="B1082" s="863">
        <v>2</v>
      </c>
      <c r="C1082" s="2148"/>
      <c r="D1082" s="2149"/>
      <c r="E1082" s="2149"/>
      <c r="F1082" s="2149"/>
      <c r="G1082" s="2150"/>
      <c r="H1082" s="657"/>
      <c r="I1082" s="657"/>
      <c r="J1082" s="657"/>
      <c r="K1082" s="657"/>
      <c r="L1082" s="657"/>
      <c r="M1082" s="657"/>
    </row>
    <row r="1083" spans="1:13">
      <c r="A1083" s="862" t="s">
        <v>826</v>
      </c>
      <c r="B1083" s="863">
        <v>2</v>
      </c>
      <c r="C1083" s="2387"/>
      <c r="D1083" s="2388"/>
      <c r="E1083" s="2388"/>
      <c r="F1083" s="2388"/>
      <c r="G1083" s="2389"/>
      <c r="H1083" s="657"/>
      <c r="I1083" s="657"/>
      <c r="J1083" s="657"/>
      <c r="K1083" s="657"/>
      <c r="L1083" s="657"/>
      <c r="M1083" s="657"/>
    </row>
    <row r="1084" spans="1:13" ht="15.75" thickBot="1">
      <c r="A1084" s="864" t="s">
        <v>307</v>
      </c>
      <c r="B1084" s="681">
        <f>ROUNDUP(SUM(B1082:B1083),2)</f>
        <v>4</v>
      </c>
      <c r="C1084" s="2353"/>
      <c r="D1084" s="2296"/>
      <c r="E1084" s="2296"/>
      <c r="F1084" s="2296"/>
      <c r="G1084" s="2354"/>
      <c r="H1084" s="657"/>
      <c r="I1084" s="657"/>
      <c r="J1084" s="657"/>
      <c r="K1084" s="657"/>
      <c r="L1084" s="657"/>
      <c r="M1084" s="657"/>
    </row>
    <row r="1085" spans="1:13" ht="15.75" thickBot="1">
      <c r="A1085" s="658"/>
      <c r="B1085" s="659"/>
      <c r="C1085" s="659"/>
      <c r="D1085" s="659"/>
      <c r="E1085" s="659"/>
      <c r="F1085" s="659"/>
      <c r="G1085" s="660"/>
      <c r="H1085" s="657"/>
      <c r="I1085" s="657"/>
      <c r="J1085" s="657"/>
      <c r="K1085" s="657"/>
      <c r="L1085" s="657"/>
      <c r="M1085" s="657"/>
    </row>
    <row r="1086" spans="1:13" ht="15.75" thickBot="1">
      <c r="A1086" s="671" t="s">
        <v>91</v>
      </c>
      <c r="B1086" s="2180" t="s">
        <v>910</v>
      </c>
      <c r="C1086" s="2181"/>
      <c r="D1086" s="2181"/>
      <c r="E1086" s="2181"/>
      <c r="F1086" s="2181"/>
      <c r="G1086" s="2182"/>
      <c r="H1086" s="657"/>
      <c r="I1086" s="657"/>
      <c r="J1086" s="657"/>
      <c r="K1086" s="657"/>
      <c r="L1086" s="657"/>
      <c r="M1086" s="657"/>
    </row>
    <row r="1087" spans="1:13">
      <c r="A1087" s="2192" t="s">
        <v>303</v>
      </c>
      <c r="B1087" s="2193"/>
      <c r="C1087" s="2193"/>
      <c r="D1087" s="2193"/>
      <c r="E1087" s="2193"/>
      <c r="F1087" s="2193"/>
      <c r="G1087" s="2194"/>
      <c r="H1087" s="657"/>
      <c r="I1087" s="657"/>
      <c r="J1087" s="657"/>
      <c r="K1087" s="657"/>
      <c r="L1087" s="657"/>
      <c r="M1087" s="657"/>
    </row>
    <row r="1088" spans="1:13">
      <c r="A1088" s="2241" t="s">
        <v>907</v>
      </c>
      <c r="B1088" s="2228"/>
      <c r="C1088" s="2228"/>
      <c r="D1088" s="2228"/>
      <c r="E1088" s="2228"/>
      <c r="F1088" s="2228"/>
      <c r="G1088" s="2229"/>
      <c r="H1088" s="657"/>
      <c r="I1088" s="657"/>
      <c r="J1088" s="657"/>
      <c r="K1088" s="657"/>
      <c r="L1088" s="657"/>
      <c r="M1088" s="657"/>
    </row>
    <row r="1089" spans="1:13">
      <c r="A1089" s="860" t="s">
        <v>908</v>
      </c>
      <c r="B1089" s="861" t="s">
        <v>909</v>
      </c>
      <c r="C1089" s="2390"/>
      <c r="D1089" s="2391"/>
      <c r="E1089" s="2391"/>
      <c r="F1089" s="2391"/>
      <c r="G1089" s="2392"/>
      <c r="H1089" s="657"/>
      <c r="I1089" s="657"/>
      <c r="J1089" s="657"/>
      <c r="K1089" s="657"/>
      <c r="L1089" s="657"/>
      <c r="M1089" s="657"/>
    </row>
    <row r="1090" spans="1:13">
      <c r="A1090" s="862" t="s">
        <v>911</v>
      </c>
      <c r="B1090" s="863">
        <v>1</v>
      </c>
      <c r="C1090" s="865"/>
      <c r="D1090" s="866"/>
      <c r="E1090" s="866"/>
      <c r="F1090" s="866"/>
      <c r="G1090" s="867"/>
      <c r="H1090" s="657"/>
      <c r="I1090" s="657"/>
      <c r="J1090" s="657"/>
      <c r="K1090" s="657"/>
      <c r="L1090" s="657"/>
      <c r="M1090" s="657"/>
    </row>
    <row r="1091" spans="1:13">
      <c r="A1091" s="862" t="s">
        <v>912</v>
      </c>
      <c r="B1091" s="863">
        <v>1</v>
      </c>
      <c r="C1091" s="865"/>
      <c r="D1091" s="866"/>
      <c r="E1091" s="866"/>
      <c r="F1091" s="866"/>
      <c r="G1091" s="867"/>
      <c r="H1091" s="657"/>
      <c r="I1091" s="657"/>
      <c r="J1091" s="657"/>
      <c r="K1091" s="657"/>
      <c r="L1091" s="657"/>
      <c r="M1091" s="657"/>
    </row>
    <row r="1092" spans="1:13" ht="15.75" thickBot="1">
      <c r="A1092" s="864" t="s">
        <v>307</v>
      </c>
      <c r="B1092" s="681">
        <f>ROUNDUP(SUM(B1090:B1091),2)</f>
        <v>2</v>
      </c>
      <c r="C1092" s="2353"/>
      <c r="D1092" s="2296"/>
      <c r="E1092" s="2296"/>
      <c r="F1092" s="2296"/>
      <c r="G1092" s="2354"/>
      <c r="H1092" s="657"/>
      <c r="I1092" s="657"/>
      <c r="J1092" s="657"/>
      <c r="K1092" s="657"/>
      <c r="L1092" s="657"/>
      <c r="M1092" s="657"/>
    </row>
    <row r="1093" spans="1:13" ht="15.75" thickBot="1">
      <c r="A1093" s="658"/>
      <c r="B1093" s="659"/>
      <c r="C1093" s="659"/>
      <c r="D1093" s="659"/>
      <c r="E1093" s="659"/>
      <c r="F1093" s="659"/>
      <c r="G1093" s="660"/>
      <c r="H1093" s="657"/>
      <c r="I1093" s="657"/>
      <c r="J1093" s="657"/>
      <c r="K1093" s="657"/>
      <c r="L1093" s="657"/>
      <c r="M1093" s="657"/>
    </row>
    <row r="1094" spans="1:13" ht="15.75" thickBot="1">
      <c r="A1094" s="671" t="s">
        <v>913</v>
      </c>
      <c r="B1094" s="2180" t="s">
        <v>914</v>
      </c>
      <c r="C1094" s="2181"/>
      <c r="D1094" s="2181"/>
      <c r="E1094" s="2181"/>
      <c r="F1094" s="2181"/>
      <c r="G1094" s="2182"/>
      <c r="H1094" s="657"/>
      <c r="I1094" s="657"/>
      <c r="J1094" s="657"/>
      <c r="K1094" s="657"/>
      <c r="L1094" s="657"/>
      <c r="M1094" s="657"/>
    </row>
    <row r="1095" spans="1:13">
      <c r="A1095" s="2192" t="s">
        <v>303</v>
      </c>
      <c r="B1095" s="2193"/>
      <c r="C1095" s="2193"/>
      <c r="D1095" s="2193"/>
      <c r="E1095" s="2193"/>
      <c r="F1095" s="2193"/>
      <c r="G1095" s="2194"/>
      <c r="H1095" s="657"/>
      <c r="I1095" s="657"/>
      <c r="J1095" s="657"/>
      <c r="K1095" s="657"/>
      <c r="L1095" s="657"/>
      <c r="M1095" s="657"/>
    </row>
    <row r="1096" spans="1:13">
      <c r="A1096" s="2241" t="s">
        <v>907</v>
      </c>
      <c r="B1096" s="2228"/>
      <c r="C1096" s="2228"/>
      <c r="D1096" s="2228"/>
      <c r="E1096" s="2228"/>
      <c r="F1096" s="2228"/>
      <c r="G1096" s="2229"/>
      <c r="H1096" s="657"/>
      <c r="I1096" s="657"/>
      <c r="J1096" s="657"/>
      <c r="K1096" s="657"/>
      <c r="L1096" s="657"/>
      <c r="M1096" s="657"/>
    </row>
    <row r="1097" spans="1:13">
      <c r="A1097" s="860" t="s">
        <v>908</v>
      </c>
      <c r="B1097" s="861" t="s">
        <v>909</v>
      </c>
      <c r="C1097" s="2390"/>
      <c r="D1097" s="2391"/>
      <c r="E1097" s="2391"/>
      <c r="F1097" s="2391"/>
      <c r="G1097" s="2392"/>
      <c r="H1097" s="657"/>
      <c r="I1097" s="657"/>
      <c r="J1097" s="657"/>
      <c r="K1097" s="657"/>
      <c r="L1097" s="657"/>
      <c r="M1097" s="657"/>
    </row>
    <row r="1098" spans="1:13">
      <c r="A1098" s="862" t="s">
        <v>915</v>
      </c>
      <c r="B1098" s="863">
        <v>1</v>
      </c>
      <c r="C1098" s="2148"/>
      <c r="D1098" s="2149"/>
      <c r="E1098" s="2149"/>
      <c r="F1098" s="2149"/>
      <c r="G1098" s="2150"/>
      <c r="H1098" s="657"/>
      <c r="I1098" s="657"/>
      <c r="J1098" s="657"/>
      <c r="K1098" s="657"/>
      <c r="L1098" s="657"/>
      <c r="M1098" s="657"/>
    </row>
    <row r="1099" spans="1:13">
      <c r="A1099" s="862" t="s">
        <v>916</v>
      </c>
      <c r="B1099" s="863">
        <v>1</v>
      </c>
      <c r="C1099" s="2393"/>
      <c r="D1099" s="2207"/>
      <c r="E1099" s="2207"/>
      <c r="F1099" s="2207"/>
      <c r="G1099" s="2394"/>
      <c r="H1099" s="657"/>
      <c r="I1099" s="657"/>
      <c r="J1099" s="657"/>
      <c r="K1099" s="657"/>
      <c r="L1099" s="657"/>
      <c r="M1099" s="657"/>
    </row>
    <row r="1100" spans="1:13" ht="24">
      <c r="A1100" s="930" t="s">
        <v>917</v>
      </c>
      <c r="B1100" s="863">
        <v>1</v>
      </c>
      <c r="C1100" s="2393"/>
      <c r="D1100" s="2207"/>
      <c r="E1100" s="2207"/>
      <c r="F1100" s="2207"/>
      <c r="G1100" s="2394"/>
      <c r="H1100" s="657"/>
      <c r="I1100" s="657"/>
      <c r="J1100" s="657"/>
      <c r="K1100" s="657"/>
      <c r="L1100" s="657"/>
      <c r="M1100" s="657"/>
    </row>
    <row r="1101" spans="1:13" ht="24">
      <c r="A1101" s="930" t="s">
        <v>918</v>
      </c>
      <c r="B1101" s="863">
        <v>1</v>
      </c>
      <c r="C1101" s="2393"/>
      <c r="D1101" s="2207"/>
      <c r="E1101" s="2207"/>
      <c r="F1101" s="2207"/>
      <c r="G1101" s="2394"/>
      <c r="H1101" s="657"/>
      <c r="I1101" s="657"/>
      <c r="J1101" s="657"/>
      <c r="K1101" s="657"/>
      <c r="L1101" s="657"/>
      <c r="M1101" s="657"/>
    </row>
    <row r="1102" spans="1:13" ht="15.75" thickBot="1">
      <c r="A1102" s="864" t="s">
        <v>307</v>
      </c>
      <c r="B1102" s="681">
        <f>ROUNDUP(SUM(B1098:B1101),2)</f>
        <v>4</v>
      </c>
      <c r="C1102" s="2353"/>
      <c r="D1102" s="2296"/>
      <c r="E1102" s="2296"/>
      <c r="F1102" s="2296"/>
      <c r="G1102" s="2354"/>
      <c r="H1102" s="657"/>
      <c r="I1102" s="657"/>
      <c r="J1102" s="657"/>
      <c r="K1102" s="657"/>
      <c r="L1102" s="657"/>
      <c r="M1102" s="657"/>
    </row>
    <row r="1103" spans="1:13" ht="15.75" thickBot="1">
      <c r="A1103" s="658"/>
      <c r="B1103" s="659"/>
      <c r="C1103" s="659"/>
      <c r="D1103" s="659"/>
      <c r="E1103" s="659"/>
      <c r="F1103" s="659"/>
      <c r="G1103" s="660"/>
      <c r="H1103" s="657"/>
      <c r="I1103" s="657"/>
      <c r="J1103" s="657"/>
      <c r="K1103" s="657"/>
      <c r="L1103" s="657"/>
      <c r="M1103" s="657"/>
    </row>
    <row r="1104" spans="1:13" ht="15.75" thickBot="1">
      <c r="A1104" s="671" t="s">
        <v>919</v>
      </c>
      <c r="B1104" s="2180" t="s">
        <v>920</v>
      </c>
      <c r="C1104" s="2181"/>
      <c r="D1104" s="2181"/>
      <c r="E1104" s="2181"/>
      <c r="F1104" s="2181"/>
      <c r="G1104" s="2182"/>
      <c r="H1104" s="657"/>
      <c r="I1104" s="657"/>
      <c r="J1104" s="657"/>
      <c r="K1104" s="657"/>
      <c r="L1104" s="657"/>
      <c r="M1104" s="657"/>
    </row>
    <row r="1105" spans="1:13">
      <c r="A1105" s="2192" t="s">
        <v>303</v>
      </c>
      <c r="B1105" s="2193"/>
      <c r="C1105" s="2193"/>
      <c r="D1105" s="2193"/>
      <c r="E1105" s="2193"/>
      <c r="F1105" s="2193"/>
      <c r="G1105" s="2194"/>
      <c r="H1105" s="657"/>
      <c r="I1105" s="657"/>
      <c r="J1105" s="657"/>
      <c r="K1105" s="657"/>
      <c r="L1105" s="657"/>
      <c r="M1105" s="657"/>
    </row>
    <row r="1106" spans="1:13">
      <c r="A1106" s="2241" t="s">
        <v>907</v>
      </c>
      <c r="B1106" s="2228"/>
      <c r="C1106" s="2228"/>
      <c r="D1106" s="2228"/>
      <c r="E1106" s="2228"/>
      <c r="F1106" s="2228"/>
      <c r="G1106" s="2229"/>
      <c r="H1106" s="657"/>
      <c r="I1106" s="657"/>
      <c r="J1106" s="657"/>
      <c r="K1106" s="657"/>
      <c r="L1106" s="657"/>
      <c r="M1106" s="657"/>
    </row>
    <row r="1107" spans="1:13">
      <c r="A1107" s="860" t="s">
        <v>908</v>
      </c>
      <c r="B1107" s="861" t="s">
        <v>909</v>
      </c>
      <c r="C1107" s="2390"/>
      <c r="D1107" s="2391"/>
      <c r="E1107" s="2391"/>
      <c r="F1107" s="2391"/>
      <c r="G1107" s="2392"/>
      <c r="H1107" s="657"/>
      <c r="I1107" s="657"/>
      <c r="J1107" s="657"/>
      <c r="K1107" s="657"/>
      <c r="L1107" s="657"/>
      <c r="M1107" s="657"/>
    </row>
    <row r="1108" spans="1:13">
      <c r="A1108" s="862" t="s">
        <v>828</v>
      </c>
      <c r="B1108" s="863">
        <v>2</v>
      </c>
      <c r="C1108" s="2393"/>
      <c r="D1108" s="2207"/>
      <c r="E1108" s="2207"/>
      <c r="F1108" s="2207"/>
      <c r="G1108" s="2394"/>
      <c r="H1108" s="657"/>
      <c r="I1108" s="657"/>
      <c r="J1108" s="657"/>
      <c r="K1108" s="657"/>
      <c r="L1108" s="657"/>
      <c r="M1108" s="657"/>
    </row>
    <row r="1109" spans="1:13">
      <c r="A1109" s="862" t="s">
        <v>826</v>
      </c>
      <c r="B1109" s="863">
        <v>2</v>
      </c>
      <c r="C1109" s="2393"/>
      <c r="D1109" s="2207"/>
      <c r="E1109" s="2207"/>
      <c r="F1109" s="2207"/>
      <c r="G1109" s="2394"/>
      <c r="H1109" s="657"/>
      <c r="I1109" s="657"/>
      <c r="J1109" s="657"/>
      <c r="K1109" s="657"/>
      <c r="L1109" s="657"/>
      <c r="M1109" s="657"/>
    </row>
    <row r="1110" spans="1:13" ht="15.75" thickBot="1">
      <c r="A1110" s="864" t="s">
        <v>307</v>
      </c>
      <c r="B1110" s="681">
        <f>ROUNDUP(SUM(B1108:B1109),2)</f>
        <v>4</v>
      </c>
      <c r="C1110" s="2353"/>
      <c r="D1110" s="2296"/>
      <c r="E1110" s="2296"/>
      <c r="F1110" s="2296"/>
      <c r="G1110" s="2354"/>
      <c r="H1110" s="657"/>
      <c r="I1110" s="657"/>
      <c r="J1110" s="657"/>
      <c r="K1110" s="657"/>
      <c r="L1110" s="657"/>
      <c r="M1110" s="657"/>
    </row>
    <row r="1111" spans="1:13" ht="15.75" thickBot="1">
      <c r="A1111" s="847"/>
      <c r="B1111" s="715"/>
      <c r="C1111" s="794"/>
      <c r="D1111" s="794"/>
      <c r="E1111" s="794"/>
      <c r="F1111" s="794"/>
      <c r="G1111" s="848"/>
      <c r="H1111" s="657"/>
      <c r="I1111" s="657"/>
      <c r="J1111" s="657"/>
      <c r="K1111" s="657"/>
      <c r="L1111" s="657"/>
      <c r="M1111" s="657"/>
    </row>
    <row r="1112" spans="1:13" ht="15.75" thickBot="1">
      <c r="A1112" s="671" t="s">
        <v>921</v>
      </c>
      <c r="B1112" s="2180" t="s">
        <v>922</v>
      </c>
      <c r="C1112" s="2181"/>
      <c r="D1112" s="2181"/>
      <c r="E1112" s="2181"/>
      <c r="F1112" s="2181"/>
      <c r="G1112" s="2182"/>
      <c r="H1112" s="657"/>
      <c r="I1112" s="657"/>
      <c r="J1112" s="657"/>
      <c r="K1112" s="657"/>
      <c r="L1112" s="657"/>
      <c r="M1112" s="657"/>
    </row>
    <row r="1113" spans="1:13">
      <c r="A1113" s="2192" t="s">
        <v>303</v>
      </c>
      <c r="B1113" s="2193"/>
      <c r="C1113" s="2193"/>
      <c r="D1113" s="2193"/>
      <c r="E1113" s="2193"/>
      <c r="F1113" s="2193"/>
      <c r="G1113" s="2194"/>
      <c r="H1113" s="657"/>
      <c r="I1113" s="657"/>
      <c r="J1113" s="657"/>
      <c r="K1113" s="657"/>
      <c r="L1113" s="657"/>
      <c r="M1113" s="657"/>
    </row>
    <row r="1114" spans="1:13">
      <c r="A1114" s="2241" t="s">
        <v>907</v>
      </c>
      <c r="B1114" s="2228"/>
      <c r="C1114" s="2228"/>
      <c r="D1114" s="2228"/>
      <c r="E1114" s="2228"/>
      <c r="F1114" s="2228"/>
      <c r="G1114" s="2229"/>
      <c r="H1114" s="657"/>
      <c r="I1114" s="657"/>
      <c r="J1114" s="657"/>
      <c r="K1114" s="657"/>
      <c r="L1114" s="657"/>
      <c r="M1114" s="657"/>
    </row>
    <row r="1115" spans="1:13">
      <c r="A1115" s="860" t="s">
        <v>908</v>
      </c>
      <c r="B1115" s="861" t="s">
        <v>909</v>
      </c>
      <c r="C1115" s="2390"/>
      <c r="D1115" s="2391"/>
      <c r="E1115" s="2391"/>
      <c r="F1115" s="2391"/>
      <c r="G1115" s="2392"/>
      <c r="H1115" s="657"/>
      <c r="I1115" s="657"/>
      <c r="J1115" s="657"/>
      <c r="K1115" s="657"/>
      <c r="L1115" s="657"/>
      <c r="M1115" s="657"/>
    </row>
    <row r="1116" spans="1:13">
      <c r="A1116" s="862" t="s">
        <v>828</v>
      </c>
      <c r="B1116" s="863">
        <v>2</v>
      </c>
      <c r="C1116" s="868"/>
      <c r="D1116" s="659"/>
      <c r="E1116" s="659"/>
      <c r="F1116" s="659"/>
      <c r="G1116" s="660"/>
      <c r="H1116" s="657"/>
      <c r="I1116" s="657"/>
      <c r="J1116" s="657"/>
      <c r="K1116" s="657"/>
      <c r="L1116" s="657"/>
      <c r="M1116" s="657"/>
    </row>
    <row r="1117" spans="1:13">
      <c r="A1117" s="862" t="s">
        <v>826</v>
      </c>
      <c r="B1117" s="863">
        <v>2</v>
      </c>
      <c r="C1117" s="868"/>
      <c r="D1117" s="659"/>
      <c r="E1117" s="659"/>
      <c r="F1117" s="659"/>
      <c r="G1117" s="660"/>
      <c r="H1117" s="657"/>
      <c r="I1117" s="657"/>
      <c r="J1117" s="657"/>
      <c r="K1117" s="657"/>
      <c r="L1117" s="657"/>
      <c r="M1117" s="657"/>
    </row>
    <row r="1118" spans="1:13" ht="15.75" thickBot="1">
      <c r="A1118" s="864" t="s">
        <v>307</v>
      </c>
      <c r="B1118" s="681">
        <f>SUM(B1116:B1117)</f>
        <v>4</v>
      </c>
      <c r="C1118" s="2353"/>
      <c r="D1118" s="2296"/>
      <c r="E1118" s="2296"/>
      <c r="F1118" s="2296"/>
      <c r="G1118" s="2354"/>
      <c r="H1118" s="657"/>
      <c r="I1118" s="657"/>
      <c r="J1118" s="657"/>
      <c r="K1118" s="657"/>
      <c r="L1118" s="657"/>
      <c r="M1118" s="657"/>
    </row>
    <row r="1119" spans="1:13" ht="15.75" thickBot="1">
      <c r="A1119" s="847"/>
      <c r="B1119" s="715"/>
      <c r="C1119" s="794"/>
      <c r="D1119" s="794"/>
      <c r="E1119" s="794"/>
      <c r="F1119" s="794"/>
      <c r="G1119" s="848"/>
      <c r="H1119" s="657"/>
      <c r="I1119" s="657"/>
      <c r="J1119" s="657"/>
      <c r="K1119" s="657"/>
      <c r="L1119" s="657"/>
      <c r="M1119" s="657"/>
    </row>
    <row r="1120" spans="1:13" ht="15.75" thickBot="1">
      <c r="A1120" s="671" t="s">
        <v>923</v>
      </c>
      <c r="B1120" s="2180" t="s">
        <v>924</v>
      </c>
      <c r="C1120" s="2181"/>
      <c r="D1120" s="2181"/>
      <c r="E1120" s="2181"/>
      <c r="F1120" s="2181"/>
      <c r="G1120" s="2182"/>
      <c r="H1120" s="657"/>
      <c r="I1120" s="657"/>
      <c r="J1120" s="657"/>
      <c r="K1120" s="657"/>
      <c r="L1120" s="657"/>
      <c r="M1120" s="657"/>
    </row>
    <row r="1121" spans="1:13">
      <c r="A1121" s="2192" t="s">
        <v>303</v>
      </c>
      <c r="B1121" s="2193"/>
      <c r="C1121" s="2193"/>
      <c r="D1121" s="2193"/>
      <c r="E1121" s="2193"/>
      <c r="F1121" s="2193"/>
      <c r="G1121" s="2194"/>
      <c r="H1121" s="657"/>
      <c r="I1121" s="657"/>
      <c r="J1121" s="657"/>
      <c r="K1121" s="657"/>
      <c r="L1121" s="657"/>
      <c r="M1121" s="657"/>
    </row>
    <row r="1122" spans="1:13">
      <c r="A1122" s="2241" t="s">
        <v>907</v>
      </c>
      <c r="B1122" s="2228"/>
      <c r="C1122" s="2228"/>
      <c r="D1122" s="2228"/>
      <c r="E1122" s="2228"/>
      <c r="F1122" s="2228"/>
      <c r="G1122" s="2229"/>
      <c r="H1122" s="657"/>
      <c r="I1122" s="657"/>
      <c r="J1122" s="657"/>
      <c r="K1122" s="657"/>
      <c r="L1122" s="657"/>
      <c r="M1122" s="657"/>
    </row>
    <row r="1123" spans="1:13">
      <c r="A1123" s="860" t="s">
        <v>908</v>
      </c>
      <c r="B1123" s="861" t="s">
        <v>909</v>
      </c>
      <c r="C1123" s="2390"/>
      <c r="D1123" s="2391"/>
      <c r="E1123" s="2391"/>
      <c r="F1123" s="2391"/>
      <c r="G1123" s="2392"/>
      <c r="H1123" s="657"/>
      <c r="I1123" s="657"/>
      <c r="J1123" s="657"/>
      <c r="K1123" s="657"/>
      <c r="L1123" s="657"/>
      <c r="M1123" s="657"/>
    </row>
    <row r="1124" spans="1:13">
      <c r="A1124" s="862" t="s">
        <v>915</v>
      </c>
      <c r="B1124" s="863">
        <v>1</v>
      </c>
      <c r="C1124" s="868" t="s">
        <v>925</v>
      </c>
      <c r="D1124" s="659"/>
      <c r="E1124" s="659"/>
      <c r="F1124" s="659"/>
      <c r="G1124" s="660"/>
      <c r="H1124" s="657"/>
      <c r="I1124" s="657"/>
      <c r="J1124" s="657"/>
      <c r="K1124" s="657"/>
      <c r="L1124" s="657"/>
      <c r="M1124" s="657"/>
    </row>
    <row r="1125" spans="1:13">
      <c r="A1125" s="862" t="s">
        <v>926</v>
      </c>
      <c r="B1125" s="863">
        <v>1</v>
      </c>
      <c r="C1125" s="868" t="s">
        <v>925</v>
      </c>
      <c r="D1125" s="659"/>
      <c r="E1125" s="659"/>
      <c r="F1125" s="659"/>
      <c r="G1125" s="660"/>
      <c r="H1125" s="657"/>
      <c r="I1125" s="657"/>
      <c r="J1125" s="657"/>
      <c r="K1125" s="657"/>
      <c r="L1125" s="657"/>
      <c r="M1125" s="657"/>
    </row>
    <row r="1126" spans="1:13" ht="15.75" thickBot="1">
      <c r="A1126" s="864" t="s">
        <v>307</v>
      </c>
      <c r="B1126" s="681">
        <f>ROUNDUP(SUM(B1124:B1125),2)</f>
        <v>2</v>
      </c>
      <c r="C1126" s="2353"/>
      <c r="D1126" s="2296"/>
      <c r="E1126" s="2296"/>
      <c r="F1126" s="2296"/>
      <c r="G1126" s="2354"/>
      <c r="H1126" s="657"/>
      <c r="I1126" s="657"/>
      <c r="J1126" s="657"/>
      <c r="K1126" s="657"/>
      <c r="L1126" s="657"/>
      <c r="M1126" s="657"/>
    </row>
    <row r="1127" spans="1:13" ht="15.75" thickBot="1">
      <c r="A1127" s="847"/>
      <c r="B1127" s="715"/>
      <c r="C1127" s="794"/>
      <c r="D1127" s="794"/>
      <c r="E1127" s="794"/>
      <c r="F1127" s="794"/>
      <c r="G1127" s="848"/>
      <c r="H1127" s="657"/>
      <c r="I1127" s="657"/>
      <c r="J1127" s="657"/>
      <c r="K1127" s="657"/>
      <c r="L1127" s="657"/>
      <c r="M1127" s="657"/>
    </row>
    <row r="1128" spans="1:13" ht="15.75" thickBot="1">
      <c r="A1128" s="671" t="s">
        <v>927</v>
      </c>
      <c r="B1128" s="2180" t="s">
        <v>928</v>
      </c>
      <c r="C1128" s="2181"/>
      <c r="D1128" s="2181"/>
      <c r="E1128" s="2181"/>
      <c r="F1128" s="2181"/>
      <c r="G1128" s="2182"/>
      <c r="H1128" s="657"/>
      <c r="I1128" s="657"/>
      <c r="J1128" s="657"/>
      <c r="K1128" s="657"/>
      <c r="L1128" s="657"/>
      <c r="M1128" s="657"/>
    </row>
    <row r="1129" spans="1:13">
      <c r="A1129" s="2192" t="s">
        <v>303</v>
      </c>
      <c r="B1129" s="2193"/>
      <c r="C1129" s="2193"/>
      <c r="D1129" s="2193"/>
      <c r="E1129" s="2193"/>
      <c r="F1129" s="2193"/>
      <c r="G1129" s="2194"/>
      <c r="H1129" s="657"/>
      <c r="I1129" s="657"/>
      <c r="J1129" s="657"/>
      <c r="K1129" s="657"/>
      <c r="L1129" s="657"/>
      <c r="M1129" s="657"/>
    </row>
    <row r="1130" spans="1:13">
      <c r="A1130" s="2241" t="s">
        <v>907</v>
      </c>
      <c r="B1130" s="2228"/>
      <c r="C1130" s="2228"/>
      <c r="D1130" s="2228"/>
      <c r="E1130" s="2228"/>
      <c r="F1130" s="2228"/>
      <c r="G1130" s="2229"/>
      <c r="H1130" s="657"/>
      <c r="I1130" s="657"/>
      <c r="J1130" s="657"/>
      <c r="K1130" s="657"/>
      <c r="L1130" s="657"/>
      <c r="M1130" s="657"/>
    </row>
    <row r="1131" spans="1:13">
      <c r="A1131" s="860" t="s">
        <v>908</v>
      </c>
      <c r="B1131" s="861" t="s">
        <v>909</v>
      </c>
      <c r="C1131" s="2390"/>
      <c r="D1131" s="2391"/>
      <c r="E1131" s="2391"/>
      <c r="F1131" s="2391"/>
      <c r="G1131" s="2392"/>
      <c r="H1131" s="657"/>
      <c r="I1131" s="657"/>
      <c r="J1131" s="657"/>
      <c r="K1131" s="657"/>
      <c r="L1131" s="657"/>
      <c r="M1131" s="657"/>
    </row>
    <row r="1132" spans="1:13">
      <c r="A1132" s="862" t="s">
        <v>824</v>
      </c>
      <c r="B1132" s="863">
        <v>1</v>
      </c>
      <c r="C1132" s="2393"/>
      <c r="D1132" s="2207"/>
      <c r="E1132" s="2207"/>
      <c r="F1132" s="2207"/>
      <c r="G1132" s="2394"/>
      <c r="H1132" s="657"/>
      <c r="I1132" s="657"/>
      <c r="J1132" s="657"/>
      <c r="K1132" s="657"/>
      <c r="L1132" s="657"/>
      <c r="M1132" s="657"/>
    </row>
    <row r="1133" spans="1:13" ht="15.75" thickBot="1">
      <c r="A1133" s="864" t="s">
        <v>307</v>
      </c>
      <c r="B1133" s="681">
        <f>ROUNDUP(SUM(B1132:B1132),2)</f>
        <v>1</v>
      </c>
      <c r="C1133" s="2353"/>
      <c r="D1133" s="2296"/>
      <c r="E1133" s="2296"/>
      <c r="F1133" s="2296"/>
      <c r="G1133" s="2354"/>
      <c r="H1133" s="657"/>
      <c r="I1133" s="657"/>
      <c r="J1133" s="657"/>
      <c r="K1133" s="657"/>
      <c r="L1133" s="657"/>
      <c r="M1133" s="657"/>
    </row>
    <row r="1134" spans="1:13" ht="15.75" thickBot="1">
      <c r="A1134" s="847"/>
      <c r="B1134" s="715"/>
      <c r="C1134" s="794"/>
      <c r="D1134" s="794"/>
      <c r="E1134" s="794"/>
      <c r="F1134" s="794"/>
      <c r="G1134" s="848"/>
      <c r="H1134" s="657"/>
      <c r="I1134" s="657"/>
      <c r="J1134" s="657"/>
      <c r="K1134" s="657"/>
      <c r="L1134" s="657"/>
      <c r="M1134" s="657"/>
    </row>
    <row r="1135" spans="1:13" ht="15.75" thickBot="1">
      <c r="A1135" s="671" t="s">
        <v>929</v>
      </c>
      <c r="B1135" s="2180" t="s">
        <v>930</v>
      </c>
      <c r="C1135" s="2181"/>
      <c r="D1135" s="2181"/>
      <c r="E1135" s="2181"/>
      <c r="F1135" s="2181"/>
      <c r="G1135" s="2182"/>
      <c r="H1135" s="657"/>
      <c r="I1135" s="657"/>
      <c r="J1135" s="657"/>
      <c r="K1135" s="657"/>
      <c r="L1135" s="657"/>
      <c r="M1135" s="657"/>
    </row>
    <row r="1136" spans="1:13" ht="15.75" thickBot="1">
      <c r="A1136" s="671" t="s">
        <v>931</v>
      </c>
      <c r="B1136" s="2180" t="s">
        <v>932</v>
      </c>
      <c r="C1136" s="2181"/>
      <c r="D1136" s="2181"/>
      <c r="E1136" s="2181"/>
      <c r="F1136" s="2181"/>
      <c r="G1136" s="2182"/>
      <c r="H1136" s="657"/>
      <c r="I1136" s="657"/>
      <c r="J1136" s="657"/>
      <c r="K1136" s="657"/>
      <c r="L1136" s="657"/>
      <c r="M1136" s="657"/>
    </row>
    <row r="1137" spans="1:13">
      <c r="A1137" s="2192" t="s">
        <v>303</v>
      </c>
      <c r="B1137" s="2193"/>
      <c r="C1137" s="2193"/>
      <c r="D1137" s="2193"/>
      <c r="E1137" s="2193"/>
      <c r="F1137" s="2193"/>
      <c r="G1137" s="2194"/>
      <c r="H1137" s="657"/>
      <c r="I1137" s="657"/>
      <c r="J1137" s="657"/>
      <c r="K1137" s="657"/>
      <c r="L1137" s="657"/>
      <c r="M1137" s="657"/>
    </row>
    <row r="1138" spans="1:13">
      <c r="A1138" s="2241" t="s">
        <v>907</v>
      </c>
      <c r="B1138" s="2228"/>
      <c r="C1138" s="2228"/>
      <c r="D1138" s="2228"/>
      <c r="E1138" s="2228"/>
      <c r="F1138" s="2228"/>
      <c r="G1138" s="2229"/>
      <c r="H1138" s="657"/>
      <c r="I1138" s="657"/>
      <c r="J1138" s="657"/>
      <c r="K1138" s="657"/>
      <c r="L1138" s="657"/>
      <c r="M1138" s="657"/>
    </row>
    <row r="1139" spans="1:13">
      <c r="A1139" s="860" t="s">
        <v>377</v>
      </c>
      <c r="B1139" s="861" t="s">
        <v>933</v>
      </c>
      <c r="C1139" s="2395"/>
      <c r="D1139" s="2396"/>
      <c r="E1139" s="2396"/>
      <c r="F1139" s="869"/>
      <c r="G1139" s="870"/>
      <c r="H1139" s="657"/>
      <c r="I1139" s="657"/>
      <c r="J1139" s="657"/>
      <c r="K1139" s="657"/>
      <c r="L1139" s="657"/>
      <c r="M1139" s="657"/>
    </row>
    <row r="1140" spans="1:13">
      <c r="A1140" s="862" t="s">
        <v>934</v>
      </c>
      <c r="B1140" s="863">
        <v>2</v>
      </c>
      <c r="C1140" s="2148"/>
      <c r="D1140" s="2149"/>
      <c r="E1140" s="2149"/>
      <c r="F1140" s="2149"/>
      <c r="G1140" s="2150"/>
      <c r="H1140" s="657"/>
      <c r="I1140" s="657"/>
      <c r="J1140" s="657"/>
      <c r="K1140" s="657"/>
      <c r="L1140" s="657"/>
      <c r="M1140" s="657"/>
    </row>
    <row r="1141" spans="1:13">
      <c r="A1141" s="862" t="s">
        <v>935</v>
      </c>
      <c r="B1141" s="863">
        <v>2</v>
      </c>
      <c r="C1141" s="2393"/>
      <c r="D1141" s="2207"/>
      <c r="E1141" s="2207"/>
      <c r="F1141" s="2207"/>
      <c r="G1141" s="2394"/>
      <c r="H1141" s="657"/>
      <c r="I1141" s="657"/>
      <c r="J1141" s="657"/>
      <c r="K1141" s="657"/>
      <c r="L1141" s="657"/>
      <c r="M1141" s="657"/>
    </row>
    <row r="1142" spans="1:13" ht="15.75" thickBot="1">
      <c r="A1142" s="864" t="s">
        <v>936</v>
      </c>
      <c r="B1142" s="681">
        <f>ROUNDUP(B1140+B1141,2)</f>
        <v>4</v>
      </c>
      <c r="C1142" s="2245"/>
      <c r="D1142" s="2246"/>
      <c r="E1142" s="2246"/>
      <c r="F1142" s="2246"/>
      <c r="G1142" s="2247"/>
      <c r="H1142" s="657"/>
      <c r="I1142" s="657"/>
      <c r="J1142" s="657"/>
      <c r="K1142" s="657"/>
      <c r="L1142" s="657"/>
      <c r="M1142" s="657"/>
    </row>
    <row r="1143" spans="1:13" ht="15.75" thickBot="1">
      <c r="A1143" s="658"/>
      <c r="B1143" s="659"/>
      <c r="C1143" s="659"/>
      <c r="D1143" s="659"/>
      <c r="E1143" s="659"/>
      <c r="F1143" s="659"/>
      <c r="G1143" s="660"/>
      <c r="H1143" s="657"/>
      <c r="I1143" s="657"/>
      <c r="J1143" s="657"/>
      <c r="K1143" s="657"/>
      <c r="L1143" s="657"/>
      <c r="M1143" s="657"/>
    </row>
    <row r="1144" spans="1:13" ht="15.75" thickBot="1">
      <c r="A1144" s="671" t="s">
        <v>937</v>
      </c>
      <c r="B1144" s="2180" t="s">
        <v>938</v>
      </c>
      <c r="C1144" s="2181"/>
      <c r="D1144" s="2181"/>
      <c r="E1144" s="2181"/>
      <c r="F1144" s="2181"/>
      <c r="G1144" s="2182"/>
      <c r="H1144" s="657"/>
      <c r="I1144" s="657"/>
      <c r="J1144" s="657"/>
      <c r="K1144" s="657"/>
      <c r="L1144" s="657"/>
      <c r="M1144" s="657"/>
    </row>
    <row r="1145" spans="1:13">
      <c r="A1145" s="2192" t="s">
        <v>303</v>
      </c>
      <c r="B1145" s="2193"/>
      <c r="C1145" s="2193"/>
      <c r="D1145" s="2193"/>
      <c r="E1145" s="2193"/>
      <c r="F1145" s="2193"/>
      <c r="G1145" s="2194"/>
      <c r="H1145" s="657"/>
      <c r="I1145" s="657"/>
      <c r="J1145" s="657"/>
      <c r="K1145" s="657"/>
      <c r="L1145" s="657"/>
      <c r="M1145" s="657"/>
    </row>
    <row r="1146" spans="1:13">
      <c r="A1146" s="2241" t="s">
        <v>907</v>
      </c>
      <c r="B1146" s="2228"/>
      <c r="C1146" s="2228"/>
      <c r="D1146" s="2228"/>
      <c r="E1146" s="2228"/>
      <c r="F1146" s="2228"/>
      <c r="G1146" s="2229"/>
      <c r="H1146" s="657"/>
      <c r="I1146" s="657"/>
      <c r="J1146" s="657"/>
      <c r="K1146" s="657"/>
      <c r="L1146" s="657"/>
      <c r="M1146" s="657"/>
    </row>
    <row r="1147" spans="1:13">
      <c r="A1147" s="860" t="s">
        <v>377</v>
      </c>
      <c r="B1147" s="871" t="s">
        <v>939</v>
      </c>
      <c r="C1147" s="2395"/>
      <c r="D1147" s="2396"/>
      <c r="E1147" s="2396"/>
      <c r="F1147" s="2396"/>
      <c r="G1147" s="870"/>
      <c r="H1147" s="657"/>
      <c r="I1147" s="657"/>
      <c r="J1147" s="657"/>
      <c r="K1147" s="657"/>
      <c r="L1147" s="657"/>
      <c r="M1147" s="657"/>
    </row>
    <row r="1148" spans="1:13">
      <c r="A1148" s="862" t="s">
        <v>934</v>
      </c>
      <c r="B1148" s="872">
        <v>1</v>
      </c>
      <c r="C1148" s="2148"/>
      <c r="D1148" s="2149"/>
      <c r="E1148" s="2149"/>
      <c r="F1148" s="2149"/>
      <c r="G1148" s="2150"/>
      <c r="H1148" s="657"/>
      <c r="I1148" s="657"/>
      <c r="J1148" s="657"/>
      <c r="K1148" s="657"/>
      <c r="L1148" s="657"/>
      <c r="M1148" s="657"/>
    </row>
    <row r="1149" spans="1:13">
      <c r="A1149" s="862" t="s">
        <v>940</v>
      </c>
      <c r="B1149" s="872">
        <v>1</v>
      </c>
      <c r="C1149" s="2393"/>
      <c r="D1149" s="2207"/>
      <c r="E1149" s="2207"/>
      <c r="F1149" s="2207"/>
      <c r="G1149" s="2394"/>
      <c r="H1149" s="657"/>
      <c r="I1149" s="657"/>
      <c r="J1149" s="657"/>
      <c r="K1149" s="657"/>
      <c r="L1149" s="657"/>
      <c r="M1149" s="657"/>
    </row>
    <row r="1150" spans="1:13" ht="15.75" thickBot="1">
      <c r="A1150" s="864" t="s">
        <v>936</v>
      </c>
      <c r="B1150" s="681">
        <f>ROUNDUP(B1148+B1149,2)</f>
        <v>2</v>
      </c>
      <c r="C1150" s="2245"/>
      <c r="D1150" s="2246"/>
      <c r="E1150" s="2246"/>
      <c r="F1150" s="2246"/>
      <c r="G1150" s="2247"/>
      <c r="H1150" s="657"/>
      <c r="I1150" s="657"/>
      <c r="J1150" s="657"/>
      <c r="K1150" s="657"/>
      <c r="L1150" s="657"/>
      <c r="M1150" s="657"/>
    </row>
    <row r="1151" spans="1:13" ht="15.75" thickBot="1">
      <c r="A1151" s="658"/>
      <c r="B1151" s="659"/>
      <c r="C1151" s="659"/>
      <c r="D1151" s="659"/>
      <c r="E1151" s="659"/>
      <c r="F1151" s="659"/>
      <c r="G1151" s="660"/>
      <c r="H1151" s="657"/>
      <c r="I1151" s="657"/>
      <c r="J1151" s="657"/>
      <c r="K1151" s="657"/>
      <c r="L1151" s="657"/>
      <c r="M1151" s="657"/>
    </row>
    <row r="1152" spans="1:13" ht="15.75" thickBot="1">
      <c r="A1152" s="671" t="s">
        <v>941</v>
      </c>
      <c r="B1152" s="2180" t="s">
        <v>942</v>
      </c>
      <c r="C1152" s="2181"/>
      <c r="D1152" s="2181"/>
      <c r="E1152" s="2181"/>
      <c r="F1152" s="2181"/>
      <c r="G1152" s="2182"/>
      <c r="H1152" s="657"/>
      <c r="I1152" s="657"/>
      <c r="J1152" s="657"/>
      <c r="K1152" s="657"/>
      <c r="L1152" s="657"/>
      <c r="M1152" s="657"/>
    </row>
    <row r="1153" spans="1:13">
      <c r="A1153" s="2192" t="s">
        <v>303</v>
      </c>
      <c r="B1153" s="2193"/>
      <c r="C1153" s="2193"/>
      <c r="D1153" s="2193"/>
      <c r="E1153" s="2193"/>
      <c r="F1153" s="2193"/>
      <c r="G1153" s="2194"/>
      <c r="H1153" s="657"/>
      <c r="I1153" s="657"/>
      <c r="J1153" s="657"/>
      <c r="K1153" s="657"/>
      <c r="L1153" s="657"/>
      <c r="M1153" s="657"/>
    </row>
    <row r="1154" spans="1:13">
      <c r="A1154" s="2241" t="s">
        <v>907</v>
      </c>
      <c r="B1154" s="2228"/>
      <c r="C1154" s="2228"/>
      <c r="D1154" s="2228"/>
      <c r="E1154" s="2228"/>
      <c r="F1154" s="2228"/>
      <c r="G1154" s="2229"/>
      <c r="H1154" s="657"/>
      <c r="I1154" s="657"/>
      <c r="J1154" s="657"/>
      <c r="K1154" s="657"/>
      <c r="L1154" s="657"/>
      <c r="M1154" s="657"/>
    </row>
    <row r="1155" spans="1:13">
      <c r="A1155" s="860" t="s">
        <v>377</v>
      </c>
      <c r="B1155" s="861" t="s">
        <v>943</v>
      </c>
      <c r="C1155" s="2395"/>
      <c r="D1155" s="2396"/>
      <c r="E1155" s="2396"/>
      <c r="F1155" s="2396"/>
      <c r="G1155" s="2398"/>
      <c r="H1155" s="657"/>
      <c r="I1155" s="657"/>
      <c r="J1155" s="657"/>
      <c r="K1155" s="657"/>
      <c r="L1155" s="657"/>
      <c r="M1155" s="657"/>
    </row>
    <row r="1156" spans="1:13">
      <c r="A1156" s="862" t="s">
        <v>934</v>
      </c>
      <c r="B1156" s="863">
        <v>1</v>
      </c>
      <c r="C1156" s="2148"/>
      <c r="D1156" s="2149"/>
      <c r="E1156" s="2149"/>
      <c r="F1156" s="2149"/>
      <c r="G1156" s="2150"/>
      <c r="H1156" s="657"/>
      <c r="I1156" s="657"/>
      <c r="J1156" s="657"/>
      <c r="K1156" s="657"/>
      <c r="L1156" s="657"/>
      <c r="M1156" s="657"/>
    </row>
    <row r="1157" spans="1:13">
      <c r="A1157" s="862" t="s">
        <v>940</v>
      </c>
      <c r="B1157" s="863">
        <v>1</v>
      </c>
      <c r="C1157" s="2393"/>
      <c r="D1157" s="2207"/>
      <c r="E1157" s="2207"/>
      <c r="F1157" s="2207"/>
      <c r="G1157" s="2394"/>
      <c r="H1157" s="657"/>
      <c r="I1157" s="657"/>
      <c r="J1157" s="657"/>
      <c r="K1157" s="657"/>
      <c r="L1157" s="657"/>
      <c r="M1157" s="657"/>
    </row>
    <row r="1158" spans="1:13" ht="15.75" thickBot="1">
      <c r="A1158" s="864" t="s">
        <v>936</v>
      </c>
      <c r="B1158" s="681">
        <f>ROUNDUP(B1156+B1157,2)</f>
        <v>2</v>
      </c>
      <c r="C1158" s="2245"/>
      <c r="D1158" s="2246"/>
      <c r="E1158" s="2246"/>
      <c r="F1158" s="2246"/>
      <c r="G1158" s="2247"/>
      <c r="H1158" s="657"/>
      <c r="I1158" s="657"/>
      <c r="J1158" s="657"/>
      <c r="K1158" s="657"/>
      <c r="L1158" s="657"/>
      <c r="M1158" s="657"/>
    </row>
    <row r="1159" spans="1:13" ht="15.75" thickBot="1">
      <c r="A1159" s="658"/>
      <c r="B1159" s="659"/>
      <c r="C1159" s="659"/>
      <c r="D1159" s="659"/>
      <c r="E1159" s="659"/>
      <c r="F1159" s="659"/>
      <c r="G1159" s="660"/>
      <c r="H1159" s="657"/>
      <c r="I1159" s="657"/>
      <c r="J1159" s="657"/>
      <c r="K1159" s="657"/>
      <c r="L1159" s="657"/>
      <c r="M1159" s="657"/>
    </row>
    <row r="1160" spans="1:13" ht="15.75" thickBot="1">
      <c r="A1160" s="671" t="s">
        <v>944</v>
      </c>
      <c r="B1160" s="2180" t="s">
        <v>945</v>
      </c>
      <c r="C1160" s="2181"/>
      <c r="D1160" s="2181"/>
      <c r="E1160" s="2181"/>
      <c r="F1160" s="2181"/>
      <c r="G1160" s="2182"/>
      <c r="H1160" s="657"/>
      <c r="I1160" s="657"/>
      <c r="J1160" s="657"/>
      <c r="K1160" s="657"/>
      <c r="L1160" s="657"/>
      <c r="M1160" s="657"/>
    </row>
    <row r="1161" spans="1:13">
      <c r="A1161" s="2183" t="s">
        <v>303</v>
      </c>
      <c r="B1161" s="2193"/>
      <c r="C1161" s="2193"/>
      <c r="D1161" s="2193"/>
      <c r="E1161" s="2193"/>
      <c r="F1161" s="2193"/>
      <c r="G1161" s="2194"/>
      <c r="H1161" s="657"/>
      <c r="I1161" s="657"/>
      <c r="J1161" s="657"/>
      <c r="K1161" s="657"/>
      <c r="L1161" s="657"/>
      <c r="M1161" s="657"/>
    </row>
    <row r="1162" spans="1:13">
      <c r="A1162" s="2216" t="s">
        <v>907</v>
      </c>
      <c r="B1162" s="2228"/>
      <c r="C1162" s="2228"/>
      <c r="D1162" s="2228"/>
      <c r="E1162" s="2228"/>
      <c r="F1162" s="2228"/>
      <c r="G1162" s="2229"/>
      <c r="H1162" s="657"/>
      <c r="I1162" s="657"/>
      <c r="J1162" s="657"/>
      <c r="K1162" s="657"/>
      <c r="L1162" s="657"/>
      <c r="M1162" s="657"/>
    </row>
    <row r="1163" spans="1:13">
      <c r="A1163" s="926" t="s">
        <v>377</v>
      </c>
      <c r="B1163" s="679" t="s">
        <v>276</v>
      </c>
      <c r="C1163" s="2395"/>
      <c r="D1163" s="2396"/>
      <c r="E1163" s="2396"/>
      <c r="F1163" s="2396"/>
      <c r="G1163" s="870"/>
      <c r="H1163" s="657"/>
      <c r="I1163" s="657"/>
      <c r="J1163" s="657"/>
      <c r="K1163" s="657"/>
      <c r="L1163" s="657"/>
      <c r="M1163" s="657"/>
    </row>
    <row r="1164" spans="1:13">
      <c r="A1164" s="927" t="s">
        <v>940</v>
      </c>
      <c r="B1164" s="872">
        <v>1</v>
      </c>
      <c r="C1164" s="659"/>
      <c r="D1164" s="659"/>
      <c r="E1164" s="873"/>
      <c r="F1164" s="873"/>
      <c r="G1164" s="874"/>
      <c r="H1164" s="657"/>
      <c r="I1164" s="657"/>
      <c r="J1164" s="657"/>
      <c r="K1164" s="657"/>
      <c r="L1164" s="657"/>
      <c r="M1164" s="657"/>
    </row>
    <row r="1165" spans="1:13">
      <c r="A1165" s="927" t="s">
        <v>946</v>
      </c>
      <c r="B1165" s="872">
        <v>1</v>
      </c>
      <c r="C1165" s="659"/>
      <c r="D1165" s="659"/>
      <c r="E1165" s="659"/>
      <c r="F1165" s="659"/>
      <c r="G1165" s="660"/>
      <c r="H1165" s="657"/>
      <c r="I1165" s="657"/>
      <c r="J1165" s="657"/>
      <c r="K1165" s="657"/>
      <c r="L1165" s="657"/>
      <c r="M1165" s="657"/>
    </row>
    <row r="1166" spans="1:13">
      <c r="A1166" s="927" t="s">
        <v>947</v>
      </c>
      <c r="B1166" s="875">
        <v>1</v>
      </c>
      <c r="C1166" s="659"/>
      <c r="D1166" s="659"/>
      <c r="E1166" s="659" t="s">
        <v>948</v>
      </c>
      <c r="F1166" s="659"/>
      <c r="G1166" s="660"/>
      <c r="H1166" s="657"/>
      <c r="I1166" s="657"/>
      <c r="J1166" s="657"/>
      <c r="K1166" s="657"/>
      <c r="L1166" s="657"/>
      <c r="M1166" s="657"/>
    </row>
    <row r="1167" spans="1:13">
      <c r="A1167" s="927" t="s">
        <v>949</v>
      </c>
      <c r="B1167" s="875">
        <v>1</v>
      </c>
      <c r="C1167" s="659"/>
      <c r="D1167" s="659"/>
      <c r="E1167" s="659"/>
      <c r="F1167" s="659"/>
      <c r="G1167" s="660"/>
      <c r="H1167" s="657"/>
      <c r="I1167" s="657"/>
      <c r="J1167" s="657"/>
      <c r="K1167" s="657"/>
      <c r="L1167" s="657"/>
      <c r="M1167" s="657"/>
    </row>
    <row r="1168" spans="1:13">
      <c r="A1168" s="876"/>
      <c r="B1168" s="875"/>
      <c r="C1168" s="659"/>
      <c r="D1168" s="659"/>
      <c r="E1168" s="659"/>
      <c r="F1168" s="659"/>
      <c r="G1168" s="660"/>
      <c r="H1168" s="657"/>
      <c r="I1168" s="657"/>
      <c r="J1168" s="657"/>
      <c r="K1168" s="657"/>
      <c r="L1168" s="657"/>
      <c r="M1168" s="657"/>
    </row>
    <row r="1169" spans="1:13">
      <c r="A1169" s="876"/>
      <c r="B1169" s="875"/>
      <c r="C1169" s="659"/>
      <c r="D1169" s="659"/>
      <c r="E1169" s="659"/>
      <c r="F1169" s="659"/>
      <c r="G1169" s="660"/>
      <c r="H1169" s="657"/>
      <c r="I1169" s="657"/>
      <c r="J1169" s="657"/>
      <c r="K1169" s="657"/>
      <c r="L1169" s="657"/>
      <c r="M1169" s="657"/>
    </row>
    <row r="1170" spans="1:13">
      <c r="A1170" s="876"/>
      <c r="B1170" s="875"/>
      <c r="C1170" s="659"/>
      <c r="D1170" s="659"/>
      <c r="E1170" s="659"/>
      <c r="F1170" s="659"/>
      <c r="G1170" s="660"/>
      <c r="H1170" s="657"/>
      <c r="I1170" s="657"/>
      <c r="J1170" s="657"/>
      <c r="K1170" s="657"/>
      <c r="L1170" s="657"/>
      <c r="M1170" s="657"/>
    </row>
    <row r="1171" spans="1:13" ht="15.75" thickBot="1">
      <c r="A1171" s="864" t="s">
        <v>936</v>
      </c>
      <c r="B1171" s="681">
        <f>ROUNDUP(B1164+B1165+B1166+B1167,2)</f>
        <v>4</v>
      </c>
      <c r="C1171" s="2245"/>
      <c r="D1171" s="2397"/>
      <c r="E1171" s="2397"/>
      <c r="F1171" s="2397"/>
      <c r="G1171" s="2247"/>
      <c r="H1171" s="657"/>
      <c r="I1171" s="657"/>
      <c r="J1171" s="657"/>
      <c r="K1171" s="657"/>
      <c r="L1171" s="657"/>
      <c r="M1171" s="657"/>
    </row>
    <row r="1172" spans="1:13" ht="15.75" thickBot="1">
      <c r="A1172" s="658"/>
      <c r="B1172" s="659"/>
      <c r="C1172" s="659"/>
      <c r="D1172" s="659"/>
      <c r="E1172" s="659"/>
      <c r="F1172" s="659"/>
      <c r="G1172" s="660"/>
      <c r="H1172" s="657"/>
      <c r="I1172" s="657"/>
      <c r="J1172" s="657"/>
      <c r="K1172" s="657"/>
      <c r="L1172" s="657"/>
      <c r="M1172" s="657"/>
    </row>
    <row r="1173" spans="1:13" ht="15.75" thickBot="1">
      <c r="A1173" s="671" t="s">
        <v>950</v>
      </c>
      <c r="B1173" s="2180" t="s">
        <v>951</v>
      </c>
      <c r="C1173" s="2181"/>
      <c r="D1173" s="2181"/>
      <c r="E1173" s="2181"/>
      <c r="F1173" s="2181"/>
      <c r="G1173" s="2182"/>
      <c r="H1173" s="657"/>
      <c r="I1173" s="657"/>
      <c r="J1173" s="657"/>
      <c r="K1173" s="657"/>
      <c r="L1173" s="657"/>
      <c r="M1173" s="657"/>
    </row>
    <row r="1174" spans="1:13">
      <c r="A1174" s="2192" t="s">
        <v>303</v>
      </c>
      <c r="B1174" s="2193"/>
      <c r="C1174" s="2193"/>
      <c r="D1174" s="2193"/>
      <c r="E1174" s="2193"/>
      <c r="F1174" s="2193"/>
      <c r="G1174" s="2194"/>
      <c r="H1174" s="657"/>
      <c r="I1174" s="657"/>
      <c r="J1174" s="657"/>
      <c r="K1174" s="657"/>
      <c r="L1174" s="657"/>
      <c r="M1174" s="657"/>
    </row>
    <row r="1175" spans="1:13">
      <c r="A1175" s="2241" t="s">
        <v>907</v>
      </c>
      <c r="B1175" s="2228"/>
      <c r="C1175" s="2228"/>
      <c r="D1175" s="2228"/>
      <c r="E1175" s="2228"/>
      <c r="F1175" s="2228"/>
      <c r="G1175" s="2229"/>
      <c r="H1175" s="657"/>
      <c r="I1175" s="657"/>
      <c r="J1175" s="657"/>
      <c r="K1175" s="657"/>
      <c r="L1175" s="657"/>
      <c r="M1175" s="657"/>
    </row>
    <row r="1176" spans="1:13">
      <c r="A1176" s="860" t="s">
        <v>377</v>
      </c>
      <c r="B1176" s="861" t="s">
        <v>276</v>
      </c>
      <c r="C1176" s="2395"/>
      <c r="D1176" s="2396"/>
      <c r="E1176" s="2396"/>
      <c r="F1176" s="2396"/>
      <c r="G1176" s="870"/>
      <c r="H1176" s="657"/>
      <c r="I1176" s="657"/>
      <c r="J1176" s="657"/>
      <c r="K1176" s="657"/>
      <c r="L1176" s="657"/>
      <c r="M1176" s="657"/>
    </row>
    <row r="1177" spans="1:13">
      <c r="A1177" s="862" t="s">
        <v>940</v>
      </c>
      <c r="B1177" s="863">
        <v>1</v>
      </c>
      <c r="C1177" s="879"/>
      <c r="D1177" s="873"/>
      <c r="E1177" s="873"/>
      <c r="F1177" s="873"/>
      <c r="G1177" s="874"/>
      <c r="H1177" s="657"/>
      <c r="I1177" s="657"/>
      <c r="J1177" s="657"/>
      <c r="K1177" s="657"/>
      <c r="L1177" s="657"/>
      <c r="M1177" s="657"/>
    </row>
    <row r="1178" spans="1:13">
      <c r="A1178" s="862" t="s">
        <v>934</v>
      </c>
      <c r="B1178" s="863">
        <v>1</v>
      </c>
      <c r="C1178" s="868"/>
      <c r="D1178" s="659"/>
      <c r="E1178" s="659"/>
      <c r="F1178" s="659"/>
      <c r="G1178" s="660"/>
      <c r="H1178" s="657"/>
      <c r="I1178" s="657"/>
      <c r="J1178" s="657"/>
      <c r="K1178" s="657"/>
      <c r="L1178" s="657"/>
      <c r="M1178" s="657"/>
    </row>
    <row r="1179" spans="1:13">
      <c r="A1179" s="876" t="s">
        <v>947</v>
      </c>
      <c r="B1179" s="880">
        <v>1</v>
      </c>
      <c r="C1179" s="868"/>
      <c r="D1179" s="659"/>
      <c r="E1179" s="659"/>
      <c r="F1179" s="659"/>
      <c r="G1179" s="660"/>
      <c r="H1179" s="657"/>
      <c r="I1179" s="657"/>
      <c r="J1179" s="657"/>
      <c r="K1179" s="657"/>
      <c r="L1179" s="657"/>
      <c r="M1179" s="657"/>
    </row>
    <row r="1180" spans="1:13">
      <c r="A1180" s="876" t="s">
        <v>949</v>
      </c>
      <c r="B1180" s="880">
        <v>1</v>
      </c>
      <c r="C1180" s="868"/>
      <c r="D1180" s="659"/>
      <c r="E1180" s="659"/>
      <c r="F1180" s="659"/>
      <c r="G1180" s="660"/>
      <c r="H1180" s="657"/>
      <c r="I1180" s="657"/>
      <c r="J1180" s="657"/>
      <c r="K1180" s="657"/>
      <c r="L1180" s="657"/>
      <c r="M1180" s="657"/>
    </row>
    <row r="1181" spans="1:13">
      <c r="A1181" s="876"/>
      <c r="B1181" s="880"/>
      <c r="C1181" s="868"/>
      <c r="D1181" s="659"/>
      <c r="E1181" s="659"/>
      <c r="F1181" s="659"/>
      <c r="G1181" s="660"/>
      <c r="H1181" s="657"/>
      <c r="I1181" s="657"/>
      <c r="J1181" s="657"/>
      <c r="K1181" s="657"/>
      <c r="L1181" s="657"/>
      <c r="M1181" s="657"/>
    </row>
    <row r="1182" spans="1:13">
      <c r="A1182" s="876"/>
      <c r="B1182" s="880"/>
      <c r="C1182" s="868"/>
      <c r="D1182" s="659"/>
      <c r="E1182" s="659"/>
      <c r="F1182" s="659"/>
      <c r="G1182" s="660"/>
      <c r="H1182" s="657"/>
      <c r="I1182" s="657"/>
      <c r="J1182" s="657"/>
      <c r="K1182" s="657"/>
      <c r="L1182" s="657"/>
      <c r="M1182" s="657"/>
    </row>
    <row r="1183" spans="1:13">
      <c r="A1183" s="876"/>
      <c r="B1183" s="880"/>
      <c r="C1183" s="868"/>
      <c r="D1183" s="659"/>
      <c r="E1183" s="659"/>
      <c r="F1183" s="659"/>
      <c r="G1183" s="660"/>
      <c r="H1183" s="657"/>
      <c r="I1183" s="657"/>
      <c r="J1183" s="657"/>
      <c r="K1183" s="657"/>
      <c r="L1183" s="657"/>
      <c r="M1183" s="657"/>
    </row>
    <row r="1184" spans="1:13">
      <c r="A1184" s="876"/>
      <c r="B1184" s="880"/>
      <c r="C1184" s="868"/>
      <c r="D1184" s="659"/>
      <c r="E1184" s="659"/>
      <c r="F1184" s="659"/>
      <c r="G1184" s="660"/>
      <c r="H1184" s="657"/>
      <c r="I1184" s="657"/>
      <c r="J1184" s="657"/>
      <c r="K1184" s="657"/>
      <c r="L1184" s="657"/>
      <c r="M1184" s="657"/>
    </row>
    <row r="1185" spans="1:13" ht="15.75" thickBot="1">
      <c r="A1185" s="864" t="s">
        <v>936</v>
      </c>
      <c r="B1185" s="681">
        <f>ROUNDUP(B1177+B1178+B1179+B1180,2)</f>
        <v>4</v>
      </c>
      <c r="C1185" s="2245"/>
      <c r="D1185" s="2246"/>
      <c r="E1185" s="2246"/>
      <c r="F1185" s="2246"/>
      <c r="G1185" s="2247"/>
      <c r="H1185" s="657"/>
      <c r="I1185" s="657"/>
      <c r="J1185" s="657"/>
      <c r="K1185" s="657"/>
      <c r="L1185" s="657"/>
      <c r="M1185" s="657"/>
    </row>
    <row r="1186" spans="1:13" ht="15.75" thickBot="1">
      <c r="A1186" s="878"/>
      <c r="B1186" s="878"/>
      <c r="C1186" s="878"/>
      <c r="D1186" s="878"/>
      <c r="E1186" s="878"/>
      <c r="F1186" s="878"/>
      <c r="G1186" s="878"/>
      <c r="H1186" s="657"/>
      <c r="I1186" s="657"/>
      <c r="J1186" s="657"/>
      <c r="K1186" s="657"/>
      <c r="L1186" s="657"/>
      <c r="M1186" s="657"/>
    </row>
    <row r="1187" spans="1:13" ht="15.75" thickBot="1">
      <c r="A1187" s="671" t="s">
        <v>952</v>
      </c>
      <c r="B1187" s="2180" t="s">
        <v>953</v>
      </c>
      <c r="C1187" s="2181"/>
      <c r="D1187" s="2181"/>
      <c r="E1187" s="2181"/>
      <c r="F1187" s="2181"/>
      <c r="G1187" s="2182"/>
      <c r="H1187" s="657"/>
      <c r="I1187" s="657"/>
      <c r="J1187" s="657"/>
      <c r="K1187" s="657"/>
      <c r="L1187" s="657"/>
      <c r="M1187" s="657"/>
    </row>
    <row r="1188" spans="1:13">
      <c r="A1188" s="2183" t="s">
        <v>303</v>
      </c>
      <c r="B1188" s="2193"/>
      <c r="C1188" s="2193"/>
      <c r="D1188" s="2193"/>
      <c r="E1188" s="2193"/>
      <c r="F1188" s="2193"/>
      <c r="G1188" s="2194"/>
      <c r="H1188" s="657"/>
      <c r="I1188" s="657"/>
      <c r="J1188" s="657"/>
      <c r="K1188" s="657"/>
      <c r="L1188" s="657"/>
      <c r="M1188" s="657"/>
    </row>
    <row r="1189" spans="1:13">
      <c r="A1189" s="2216" t="s">
        <v>907</v>
      </c>
      <c r="B1189" s="2228"/>
      <c r="C1189" s="2228"/>
      <c r="D1189" s="2228"/>
      <c r="E1189" s="2228"/>
      <c r="F1189" s="2228"/>
      <c r="G1189" s="2229"/>
      <c r="H1189" s="657"/>
      <c r="I1189" s="657"/>
      <c r="J1189" s="657"/>
      <c r="K1189" s="657"/>
      <c r="L1189" s="657"/>
      <c r="M1189" s="657"/>
    </row>
    <row r="1190" spans="1:13">
      <c r="A1190" s="926" t="s">
        <v>377</v>
      </c>
      <c r="B1190" s="679" t="s">
        <v>276</v>
      </c>
      <c r="C1190" s="2396"/>
      <c r="D1190" s="2396"/>
      <c r="E1190" s="2396"/>
      <c r="F1190" s="2396"/>
      <c r="G1190" s="870"/>
      <c r="H1190" s="657"/>
      <c r="I1190" s="657"/>
      <c r="J1190" s="657"/>
      <c r="K1190" s="657"/>
      <c r="L1190" s="657"/>
      <c r="M1190" s="657"/>
    </row>
    <row r="1191" spans="1:13">
      <c r="A1191" s="927" t="s">
        <v>940</v>
      </c>
      <c r="B1191" s="925">
        <v>1</v>
      </c>
      <c r="C1191" s="873"/>
      <c r="D1191" s="873"/>
      <c r="E1191" s="873"/>
      <c r="F1191" s="873"/>
      <c r="G1191" s="874"/>
      <c r="H1191" s="657"/>
      <c r="I1191" s="657"/>
      <c r="J1191" s="657"/>
      <c r="K1191" s="657"/>
      <c r="L1191" s="657"/>
      <c r="M1191" s="657"/>
    </row>
    <row r="1192" spans="1:13">
      <c r="A1192" s="927" t="s">
        <v>934</v>
      </c>
      <c r="B1192" s="925">
        <v>1</v>
      </c>
      <c r="C1192" s="659"/>
      <c r="D1192" s="659"/>
      <c r="E1192" s="659"/>
      <c r="F1192" s="659"/>
      <c r="G1192" s="660"/>
      <c r="H1192" s="657"/>
      <c r="I1192" s="657"/>
      <c r="J1192" s="657"/>
      <c r="K1192" s="657"/>
      <c r="L1192" s="657"/>
      <c r="M1192" s="657"/>
    </row>
    <row r="1193" spans="1:13">
      <c r="A1193" s="927" t="s">
        <v>947</v>
      </c>
      <c r="B1193" s="925">
        <v>2</v>
      </c>
      <c r="C1193" s="659"/>
      <c r="D1193" s="659"/>
      <c r="E1193" s="659" t="s">
        <v>954</v>
      </c>
      <c r="F1193" s="659"/>
      <c r="G1193" s="660"/>
      <c r="H1193" s="657"/>
      <c r="I1193" s="657"/>
      <c r="J1193" s="657"/>
      <c r="K1193" s="657"/>
      <c r="L1193" s="657"/>
      <c r="M1193" s="657"/>
    </row>
    <row r="1194" spans="1:13">
      <c r="A1194" s="927" t="s">
        <v>949</v>
      </c>
      <c r="B1194" s="925">
        <v>2</v>
      </c>
      <c r="C1194" s="659"/>
      <c r="D1194" s="659"/>
      <c r="E1194" s="659"/>
      <c r="F1194" s="659"/>
      <c r="G1194" s="660"/>
      <c r="H1194" s="657"/>
      <c r="I1194" s="657"/>
      <c r="J1194" s="657"/>
      <c r="K1194" s="657"/>
      <c r="L1194" s="657"/>
      <c r="M1194" s="657"/>
    </row>
    <row r="1195" spans="1:13">
      <c r="A1195" s="927"/>
      <c r="B1195" s="925"/>
      <c r="C1195" s="659"/>
      <c r="D1195" s="659"/>
      <c r="E1195" s="659"/>
      <c r="F1195" s="659"/>
      <c r="G1195" s="660"/>
      <c r="H1195" s="657"/>
      <c r="I1195" s="657"/>
      <c r="J1195" s="657"/>
      <c r="K1195" s="657"/>
      <c r="L1195" s="657"/>
      <c r="M1195" s="657"/>
    </row>
    <row r="1196" spans="1:13">
      <c r="A1196" s="927"/>
      <c r="B1196" s="925"/>
      <c r="C1196" s="659"/>
      <c r="D1196" s="659"/>
      <c r="E1196" s="659"/>
      <c r="F1196" s="659"/>
      <c r="G1196" s="660"/>
      <c r="H1196" s="657"/>
      <c r="I1196" s="657"/>
      <c r="J1196" s="657"/>
      <c r="K1196" s="657"/>
      <c r="L1196" s="657"/>
      <c r="M1196" s="657"/>
    </row>
    <row r="1197" spans="1:13">
      <c r="A1197" s="927"/>
      <c r="B1197" s="925"/>
      <c r="C1197" s="659"/>
      <c r="D1197" s="659"/>
      <c r="E1197" s="659"/>
      <c r="F1197" s="659"/>
      <c r="G1197" s="660"/>
      <c r="H1197" s="657"/>
      <c r="I1197" s="657"/>
      <c r="J1197" s="657"/>
      <c r="K1197" s="657"/>
      <c r="L1197" s="657"/>
      <c r="M1197" s="657"/>
    </row>
    <row r="1198" spans="1:13" ht="15.75" thickBot="1">
      <c r="A1198" s="928" t="s">
        <v>936</v>
      </c>
      <c r="B1198" s="681">
        <f>ROUNDUP(B1191+B1193+B1194+B1192,2)</f>
        <v>6</v>
      </c>
      <c r="C1198" s="2397"/>
      <c r="D1198" s="2397"/>
      <c r="E1198" s="2397"/>
      <c r="F1198" s="2397"/>
      <c r="G1198" s="2247"/>
      <c r="H1198" s="657"/>
      <c r="I1198" s="657"/>
      <c r="J1198" s="657"/>
      <c r="K1198" s="657"/>
      <c r="L1198" s="657"/>
      <c r="M1198" s="657"/>
    </row>
    <row r="1199" spans="1:13" ht="15.75" thickBot="1">
      <c r="A1199" s="658"/>
      <c r="B1199" s="659"/>
      <c r="C1199" s="659"/>
      <c r="D1199" s="659"/>
      <c r="E1199" s="659"/>
      <c r="F1199" s="659"/>
      <c r="G1199" s="660"/>
      <c r="H1199" s="657"/>
      <c r="I1199" s="657"/>
      <c r="J1199" s="657"/>
      <c r="K1199" s="657"/>
      <c r="L1199" s="657"/>
      <c r="M1199" s="657"/>
    </row>
    <row r="1200" spans="1:13" ht="15.75" thickBot="1">
      <c r="A1200" s="671" t="s">
        <v>955</v>
      </c>
      <c r="B1200" s="2180" t="s">
        <v>956</v>
      </c>
      <c r="C1200" s="2181"/>
      <c r="D1200" s="2181"/>
      <c r="E1200" s="2181"/>
      <c r="F1200" s="2181"/>
      <c r="G1200" s="2182"/>
      <c r="H1200" s="657"/>
      <c r="I1200" s="657"/>
      <c r="J1200" s="657"/>
      <c r="K1200" s="657"/>
      <c r="L1200" s="657"/>
      <c r="M1200" s="657"/>
    </row>
    <row r="1201" spans="1:13">
      <c r="A1201" s="2192" t="s">
        <v>303</v>
      </c>
      <c r="B1201" s="2193"/>
      <c r="C1201" s="2193"/>
      <c r="D1201" s="2193"/>
      <c r="E1201" s="2193"/>
      <c r="F1201" s="2193"/>
      <c r="G1201" s="2194"/>
      <c r="H1201" s="657"/>
      <c r="I1201" s="657"/>
      <c r="J1201" s="657"/>
      <c r="K1201" s="657"/>
      <c r="L1201" s="657"/>
      <c r="M1201" s="657"/>
    </row>
    <row r="1202" spans="1:13">
      <c r="A1202" s="2241" t="s">
        <v>907</v>
      </c>
      <c r="B1202" s="2228"/>
      <c r="C1202" s="2228"/>
      <c r="D1202" s="2228"/>
      <c r="E1202" s="2228"/>
      <c r="F1202" s="2228"/>
      <c r="G1202" s="2229"/>
      <c r="H1202" s="657"/>
      <c r="I1202" s="657"/>
      <c r="J1202" s="657"/>
      <c r="K1202" s="657"/>
      <c r="L1202" s="657"/>
      <c r="M1202" s="657"/>
    </row>
    <row r="1203" spans="1:13">
      <c r="A1203" s="860" t="s">
        <v>377</v>
      </c>
      <c r="B1203" s="861" t="s">
        <v>276</v>
      </c>
      <c r="C1203" s="2395" t="s">
        <v>957</v>
      </c>
      <c r="D1203" s="2396"/>
      <c r="E1203" s="2396"/>
      <c r="F1203" s="2396"/>
      <c r="G1203" s="870"/>
      <c r="H1203" s="657"/>
      <c r="I1203" s="657"/>
      <c r="J1203" s="657"/>
      <c r="K1203" s="657"/>
      <c r="L1203" s="657"/>
      <c r="M1203" s="657"/>
    </row>
    <row r="1204" spans="1:13">
      <c r="A1204" s="862" t="s">
        <v>940</v>
      </c>
      <c r="B1204" s="863">
        <v>1</v>
      </c>
      <c r="C1204" s="2148">
        <f>0.45*0.9*4</f>
        <v>1.62</v>
      </c>
      <c r="D1204" s="2149"/>
      <c r="E1204" s="2149"/>
      <c r="F1204" s="2149"/>
      <c r="G1204" s="2150"/>
      <c r="H1204" s="657"/>
      <c r="I1204" s="657"/>
      <c r="J1204" s="657"/>
      <c r="K1204" s="657"/>
      <c r="L1204" s="657"/>
      <c r="M1204" s="657"/>
    </row>
    <row r="1205" spans="1:13">
      <c r="A1205" s="862" t="s">
        <v>934</v>
      </c>
      <c r="B1205" s="863">
        <v>1</v>
      </c>
      <c r="C1205" s="2393"/>
      <c r="D1205" s="2207"/>
      <c r="E1205" s="2207"/>
      <c r="F1205" s="2207"/>
      <c r="G1205" s="2394"/>
      <c r="H1205" s="657"/>
      <c r="I1205" s="657"/>
      <c r="J1205" s="657"/>
      <c r="K1205" s="657"/>
      <c r="L1205" s="657"/>
      <c r="M1205" s="657"/>
    </row>
    <row r="1206" spans="1:13">
      <c r="A1206" s="862" t="s">
        <v>958</v>
      </c>
      <c r="B1206" s="880">
        <v>1</v>
      </c>
      <c r="C1206" s="2393"/>
      <c r="D1206" s="2207"/>
      <c r="E1206" s="2207"/>
      <c r="F1206" s="2207"/>
      <c r="G1206" s="2394"/>
      <c r="H1206" s="657"/>
      <c r="I1206" s="657"/>
      <c r="J1206" s="657"/>
      <c r="K1206" s="657"/>
      <c r="L1206" s="657"/>
      <c r="M1206" s="657"/>
    </row>
    <row r="1207" spans="1:13">
      <c r="A1207" s="862" t="s">
        <v>959</v>
      </c>
      <c r="B1207" s="880">
        <v>1</v>
      </c>
      <c r="C1207" s="2393"/>
      <c r="D1207" s="2207"/>
      <c r="E1207" s="2207"/>
      <c r="F1207" s="2207"/>
      <c r="G1207" s="2394"/>
      <c r="H1207" s="657"/>
      <c r="I1207" s="657"/>
      <c r="J1207" s="657"/>
      <c r="K1207" s="657"/>
      <c r="L1207" s="657"/>
      <c r="M1207" s="657"/>
    </row>
    <row r="1208" spans="1:13" ht="15.75" thickBot="1">
      <c r="A1208" s="864" t="s">
        <v>936</v>
      </c>
      <c r="B1208" s="681">
        <f>SUM(B1204:B1207)</f>
        <v>4</v>
      </c>
      <c r="C1208" s="2245"/>
      <c r="D1208" s="2246"/>
      <c r="E1208" s="2246"/>
      <c r="F1208" s="2246"/>
      <c r="G1208" s="2247"/>
      <c r="H1208" s="657"/>
      <c r="I1208" s="657"/>
      <c r="J1208" s="657"/>
      <c r="K1208" s="657"/>
      <c r="L1208" s="657"/>
      <c r="M1208" s="657"/>
    </row>
    <row r="1209" spans="1:13" ht="15.75" thickBot="1">
      <c r="A1209" s="877"/>
      <c r="B1209" s="878"/>
      <c r="C1209" s="878"/>
      <c r="D1209" s="878"/>
      <c r="E1209" s="878"/>
      <c r="F1209" s="878"/>
      <c r="G1209" s="881"/>
      <c r="H1209" s="657"/>
      <c r="I1209" s="657"/>
      <c r="J1209" s="657"/>
      <c r="K1209" s="657"/>
      <c r="L1209" s="657"/>
      <c r="M1209" s="657"/>
    </row>
    <row r="1210" spans="1:13" ht="15.75" thickBot="1">
      <c r="A1210" s="671" t="s">
        <v>960</v>
      </c>
      <c r="B1210" s="2180" t="s">
        <v>961</v>
      </c>
      <c r="C1210" s="2181"/>
      <c r="D1210" s="2181"/>
      <c r="E1210" s="2181"/>
      <c r="F1210" s="2181"/>
      <c r="G1210" s="2182"/>
      <c r="H1210" s="657"/>
      <c r="I1210" s="657"/>
      <c r="J1210" s="657"/>
      <c r="K1210" s="657"/>
      <c r="L1210" s="657"/>
      <c r="M1210" s="657"/>
    </row>
    <row r="1211" spans="1:13" ht="15.75" thickBot="1">
      <c r="A1211" s="671" t="s">
        <v>962</v>
      </c>
      <c r="B1211" s="2180" t="s">
        <v>963</v>
      </c>
      <c r="C1211" s="2181"/>
      <c r="D1211" s="2181"/>
      <c r="E1211" s="2181"/>
      <c r="F1211" s="2181"/>
      <c r="G1211" s="2182"/>
      <c r="H1211" s="657"/>
      <c r="I1211" s="657"/>
      <c r="J1211" s="657"/>
      <c r="K1211" s="657"/>
      <c r="L1211" s="657"/>
      <c r="M1211" s="657"/>
    </row>
    <row r="1212" spans="1:13">
      <c r="A1212" s="2192" t="s">
        <v>303</v>
      </c>
      <c r="B1212" s="2193"/>
      <c r="C1212" s="2193"/>
      <c r="D1212" s="2193"/>
      <c r="E1212" s="2193"/>
      <c r="F1212" s="2193"/>
      <c r="G1212" s="2194"/>
      <c r="H1212" s="657"/>
      <c r="I1212" s="657"/>
      <c r="J1212" s="657"/>
      <c r="K1212" s="657"/>
      <c r="L1212" s="657"/>
      <c r="M1212" s="657"/>
    </row>
    <row r="1213" spans="1:13">
      <c r="A1213" s="2241" t="s">
        <v>907</v>
      </c>
      <c r="B1213" s="2228"/>
      <c r="C1213" s="2228"/>
      <c r="D1213" s="2228"/>
      <c r="E1213" s="2228"/>
      <c r="F1213" s="2228"/>
      <c r="G1213" s="2229"/>
      <c r="H1213" s="657"/>
      <c r="I1213" s="657"/>
      <c r="J1213" s="657"/>
      <c r="K1213" s="657"/>
      <c r="L1213" s="657"/>
      <c r="M1213" s="657"/>
    </row>
    <row r="1214" spans="1:13">
      <c r="A1214" s="860" t="s">
        <v>964</v>
      </c>
      <c r="B1214" s="861" t="s">
        <v>276</v>
      </c>
      <c r="C1214" s="882"/>
      <c r="D1214" s="883"/>
      <c r="E1214" s="2396"/>
      <c r="F1214" s="2396"/>
      <c r="G1214" s="2398"/>
      <c r="H1214" s="657"/>
      <c r="I1214" s="657"/>
      <c r="J1214" s="657"/>
      <c r="K1214" s="657"/>
      <c r="L1214" s="657"/>
      <c r="M1214" s="657"/>
    </row>
    <row r="1215" spans="1:13">
      <c r="A1215" s="862" t="s">
        <v>824</v>
      </c>
      <c r="B1215" s="884">
        <v>1</v>
      </c>
      <c r="C1215" s="2173"/>
      <c r="D1215" s="2407"/>
      <c r="E1215" s="2407"/>
      <c r="F1215" s="2407"/>
      <c r="G1215" s="2408"/>
      <c r="H1215" s="657"/>
      <c r="I1215" s="657"/>
      <c r="J1215" s="657"/>
      <c r="K1215" s="657"/>
      <c r="L1215" s="657"/>
      <c r="M1215" s="657"/>
    </row>
    <row r="1216" spans="1:13">
      <c r="A1216" s="885" t="s">
        <v>936</v>
      </c>
      <c r="B1216" s="886">
        <f>ROUNDUP(B1215,2)</f>
        <v>1</v>
      </c>
      <c r="C1216" s="2409"/>
      <c r="D1216" s="2410"/>
      <c r="E1216" s="2410"/>
      <c r="F1216" s="2410"/>
      <c r="G1216" s="2411"/>
      <c r="H1216" s="657"/>
      <c r="I1216" s="657"/>
      <c r="J1216" s="657"/>
      <c r="K1216" s="657"/>
      <c r="L1216" s="657"/>
      <c r="M1216" s="657"/>
    </row>
    <row r="1217" spans="1:13" ht="15.75" thickBot="1">
      <c r="A1217" s="658"/>
      <c r="B1217" s="659"/>
      <c r="C1217" s="659"/>
      <c r="D1217" s="659"/>
      <c r="E1217" s="659"/>
      <c r="F1217" s="659"/>
      <c r="G1217" s="660"/>
      <c r="H1217" s="657"/>
      <c r="I1217" s="657"/>
      <c r="J1217" s="657"/>
      <c r="K1217" s="657"/>
      <c r="L1217" s="657"/>
      <c r="M1217" s="657"/>
    </row>
    <row r="1218" spans="1:13" ht="15.75" thickBot="1">
      <c r="A1218" s="671">
        <v>15</v>
      </c>
      <c r="B1218" s="2180" t="s">
        <v>965</v>
      </c>
      <c r="C1218" s="2181"/>
      <c r="D1218" s="2181"/>
      <c r="E1218" s="2181"/>
      <c r="F1218" s="2181"/>
      <c r="G1218" s="2182"/>
      <c r="H1218" s="657"/>
      <c r="I1218" s="657"/>
      <c r="J1218" s="657"/>
      <c r="K1218" s="657"/>
      <c r="L1218" s="657"/>
      <c r="M1218" s="657"/>
    </row>
    <row r="1219" spans="1:13" ht="15.75" thickBot="1">
      <c r="A1219" s="737"/>
      <c r="B1219" s="669"/>
      <c r="C1219" s="715"/>
      <c r="D1219" s="738"/>
      <c r="E1219" s="739"/>
      <c r="F1219" s="739"/>
      <c r="G1219" s="740"/>
      <c r="H1219" s="657"/>
      <c r="I1219" s="657"/>
      <c r="J1219" s="657"/>
      <c r="K1219" s="657"/>
      <c r="L1219" s="657"/>
      <c r="M1219" s="657"/>
    </row>
    <row r="1220" spans="1:13" ht="15.75" thickBot="1">
      <c r="A1220" s="671">
        <v>16</v>
      </c>
      <c r="B1220" s="2180" t="s">
        <v>966</v>
      </c>
      <c r="C1220" s="2181"/>
      <c r="D1220" s="2181"/>
      <c r="E1220" s="2181"/>
      <c r="F1220" s="2181"/>
      <c r="G1220" s="2182"/>
      <c r="H1220" s="657"/>
      <c r="I1220" s="657"/>
      <c r="J1220" s="657"/>
      <c r="K1220" s="657"/>
      <c r="L1220" s="657"/>
      <c r="M1220" s="657"/>
    </row>
    <row r="1221" spans="1:13" ht="15.75" thickBot="1">
      <c r="A1221" s="737"/>
      <c r="B1221" s="669"/>
      <c r="C1221" s="715"/>
      <c r="D1221" s="738"/>
      <c r="E1221" s="739"/>
      <c r="F1221" s="739"/>
      <c r="G1221" s="740"/>
      <c r="H1221" s="657"/>
      <c r="I1221" s="657"/>
      <c r="J1221" s="657"/>
      <c r="K1221" s="657"/>
      <c r="L1221" s="657"/>
      <c r="M1221" s="657"/>
    </row>
    <row r="1222" spans="1:13" ht="15.75" thickBot="1">
      <c r="A1222" s="671">
        <v>17</v>
      </c>
      <c r="B1222" s="2180" t="s">
        <v>967</v>
      </c>
      <c r="C1222" s="2181"/>
      <c r="D1222" s="2181"/>
      <c r="E1222" s="2181"/>
      <c r="F1222" s="2181"/>
      <c r="G1222" s="2182"/>
      <c r="H1222" s="657"/>
      <c r="I1222" s="657"/>
      <c r="J1222" s="657"/>
      <c r="K1222" s="657"/>
      <c r="L1222" s="657"/>
      <c r="M1222" s="657"/>
    </row>
    <row r="1223" spans="1:13" ht="15.75" thickBot="1">
      <c r="A1223" s="737"/>
      <c r="B1223" s="669"/>
      <c r="C1223" s="715"/>
      <c r="D1223" s="738"/>
      <c r="E1223" s="739"/>
      <c r="F1223" s="739"/>
      <c r="G1223" s="740"/>
      <c r="H1223" s="657"/>
      <c r="I1223" s="657"/>
      <c r="J1223" s="657"/>
      <c r="K1223" s="657"/>
      <c r="L1223" s="657"/>
      <c r="M1223" s="657"/>
    </row>
    <row r="1224" spans="1:13" ht="15.75" thickBot="1">
      <c r="A1224" s="671">
        <v>18</v>
      </c>
      <c r="B1224" s="2180" t="s">
        <v>75</v>
      </c>
      <c r="C1224" s="2181"/>
      <c r="D1224" s="2181"/>
      <c r="E1224" s="2181"/>
      <c r="F1224" s="2181"/>
      <c r="G1224" s="2182"/>
      <c r="H1224" s="657"/>
      <c r="I1224" s="657"/>
      <c r="J1224" s="657"/>
      <c r="K1224" s="657"/>
      <c r="L1224" s="657"/>
      <c r="M1224" s="657"/>
    </row>
    <row r="1225" spans="1:13" ht="15.75" thickBot="1">
      <c r="A1225" s="737"/>
      <c r="B1225" s="669"/>
      <c r="C1225" s="715"/>
      <c r="D1225" s="738"/>
      <c r="E1225" s="739"/>
      <c r="F1225" s="739"/>
      <c r="G1225" s="740"/>
      <c r="H1225" s="657"/>
      <c r="I1225" s="657"/>
      <c r="J1225" s="657"/>
      <c r="K1225" s="657"/>
      <c r="L1225" s="657"/>
      <c r="M1225" s="657"/>
    </row>
    <row r="1226" spans="1:13" ht="15.75" thickBot="1">
      <c r="A1226" s="671">
        <v>19</v>
      </c>
      <c r="B1226" s="2180" t="s">
        <v>968</v>
      </c>
      <c r="C1226" s="2181"/>
      <c r="D1226" s="2181"/>
      <c r="E1226" s="2181"/>
      <c r="F1226" s="2181"/>
      <c r="G1226" s="2182"/>
      <c r="H1226" s="657"/>
      <c r="I1226" s="657"/>
      <c r="J1226" s="657"/>
      <c r="K1226" s="657"/>
      <c r="L1226" s="657"/>
      <c r="M1226" s="657"/>
    </row>
    <row r="1227" spans="1:13" ht="15.75" thickBot="1">
      <c r="A1227" s="658"/>
      <c r="B1227" s="659"/>
      <c r="C1227" s="659"/>
      <c r="D1227" s="659"/>
      <c r="E1227" s="659"/>
      <c r="F1227" s="659"/>
      <c r="G1227" s="660"/>
      <c r="H1227" s="657"/>
      <c r="I1227" s="657"/>
      <c r="J1227" s="657"/>
      <c r="K1227" s="657"/>
      <c r="L1227" s="657"/>
      <c r="M1227" s="657"/>
    </row>
    <row r="1228" spans="1:13" ht="15.75" thickBot="1">
      <c r="A1228" s="671">
        <v>20</v>
      </c>
      <c r="B1228" s="2180" t="s">
        <v>969</v>
      </c>
      <c r="C1228" s="2181"/>
      <c r="D1228" s="2181"/>
      <c r="E1228" s="2181"/>
      <c r="F1228" s="2181"/>
      <c r="G1228" s="2182"/>
      <c r="H1228" s="657"/>
      <c r="I1228" s="657"/>
      <c r="J1228" s="657"/>
      <c r="K1228" s="657"/>
      <c r="L1228" s="657"/>
      <c r="M1228" s="657"/>
    </row>
    <row r="1229" spans="1:13" ht="15.75" thickBot="1">
      <c r="A1229" s="658"/>
      <c r="B1229" s="659"/>
      <c r="C1229" s="659"/>
      <c r="D1229" s="659"/>
      <c r="E1229" s="659"/>
      <c r="F1229" s="659"/>
      <c r="G1229" s="660"/>
      <c r="H1229" s="657"/>
      <c r="I1229" s="657"/>
      <c r="J1229" s="657"/>
      <c r="K1229" s="657"/>
      <c r="L1229" s="657"/>
      <c r="M1229" s="657"/>
    </row>
    <row r="1230" spans="1:13" ht="15.75" thickBot="1">
      <c r="A1230" s="671">
        <v>21</v>
      </c>
      <c r="B1230" s="2180" t="s">
        <v>970</v>
      </c>
      <c r="C1230" s="2181"/>
      <c r="D1230" s="2181"/>
      <c r="E1230" s="2181"/>
      <c r="F1230" s="2181"/>
      <c r="G1230" s="2182"/>
      <c r="H1230" s="657"/>
      <c r="I1230" s="657"/>
      <c r="J1230" s="657"/>
      <c r="K1230" s="657"/>
      <c r="L1230" s="657"/>
      <c r="M1230" s="657"/>
    </row>
    <row r="1231" spans="1:13" ht="15.75" thickBot="1">
      <c r="A1231" s="671" t="s">
        <v>971</v>
      </c>
      <c r="B1231" s="2180" t="s">
        <v>2151</v>
      </c>
      <c r="C1231" s="2181"/>
      <c r="D1231" s="2181"/>
      <c r="E1231" s="2181"/>
      <c r="F1231" s="2181"/>
      <c r="G1231" s="2182"/>
      <c r="H1231" s="657"/>
      <c r="I1231" s="657"/>
      <c r="J1231" s="657"/>
      <c r="K1231" s="657"/>
      <c r="L1231" s="657"/>
      <c r="M1231" s="657"/>
    </row>
    <row r="1232" spans="1:13">
      <c r="A1232" s="2248" t="s">
        <v>303</v>
      </c>
      <c r="B1232" s="2249"/>
      <c r="C1232" s="2249"/>
      <c r="D1232" s="2249"/>
      <c r="E1232" s="2249"/>
      <c r="F1232" s="2249"/>
      <c r="G1232" s="2250"/>
      <c r="H1232" s="657"/>
      <c r="I1232" s="657"/>
      <c r="J1232" s="657"/>
      <c r="K1232" s="657"/>
      <c r="L1232" s="657"/>
      <c r="M1232" s="657"/>
    </row>
    <row r="1233" spans="1:13">
      <c r="A1233" s="2399" t="s">
        <v>972</v>
      </c>
      <c r="B1233" s="2400"/>
      <c r="C1233" s="2400"/>
      <c r="D1233" s="2400"/>
      <c r="E1233" s="2400"/>
      <c r="F1233" s="2400"/>
      <c r="G1233" s="2401"/>
      <c r="H1233" s="657"/>
      <c r="I1233" s="657"/>
      <c r="J1233" s="657"/>
      <c r="K1233" s="657"/>
      <c r="L1233" s="657"/>
      <c r="M1233" s="657"/>
    </row>
    <row r="1234" spans="1:13">
      <c r="A1234" s="2402" t="s">
        <v>308</v>
      </c>
      <c r="B1234" s="2403"/>
      <c r="C1234" s="887" t="s">
        <v>632</v>
      </c>
      <c r="D1234" s="887" t="s">
        <v>363</v>
      </c>
      <c r="E1234" s="2404" t="s">
        <v>306</v>
      </c>
      <c r="F1234" s="2405"/>
      <c r="G1234" s="2406"/>
      <c r="H1234" s="657"/>
      <c r="I1234" s="657"/>
      <c r="J1234" s="657"/>
      <c r="K1234" s="657"/>
      <c r="L1234" s="657"/>
      <c r="M1234" s="657"/>
    </row>
    <row r="1235" spans="1:13" ht="30.75" customHeight="1">
      <c r="A1235" s="2346" t="s">
        <v>2182</v>
      </c>
      <c r="B1235" s="2163"/>
      <c r="C1235" s="1122" t="s">
        <v>2181</v>
      </c>
      <c r="D1235" s="784">
        <f>31.95+13.7+66.73</f>
        <v>112.38</v>
      </c>
      <c r="E1235" s="2148" t="s">
        <v>973</v>
      </c>
      <c r="F1235" s="2149"/>
      <c r="G1235" s="2150"/>
      <c r="H1235" s="657"/>
      <c r="I1235" s="657"/>
      <c r="J1235" s="657"/>
      <c r="K1235" s="657"/>
      <c r="L1235" s="657"/>
      <c r="M1235" s="657"/>
    </row>
    <row r="1236" spans="1:13" ht="30.75" customHeight="1">
      <c r="A1236" s="2147" t="s">
        <v>2183</v>
      </c>
      <c r="B1236" s="2147"/>
      <c r="C1236" s="1125" t="s">
        <v>845</v>
      </c>
      <c r="D1236" s="680">
        <f>68.14+108.42</f>
        <v>176.56</v>
      </c>
      <c r="E1236" s="2148" t="s">
        <v>973</v>
      </c>
      <c r="F1236" s="2149"/>
      <c r="G1236" s="2150"/>
      <c r="H1236" s="657"/>
      <c r="I1236" s="657"/>
      <c r="J1236" s="657"/>
      <c r="K1236" s="657"/>
      <c r="L1236" s="657"/>
      <c r="M1236" s="657"/>
    </row>
    <row r="1237" spans="1:13" ht="15.75" thickBot="1">
      <c r="A1237" s="2308" t="s">
        <v>340</v>
      </c>
      <c r="B1237" s="2271"/>
      <c r="C1237" s="2272"/>
      <c r="D1237" s="888">
        <f>SUM(D1235+D1236)</f>
        <v>288.94</v>
      </c>
      <c r="E1237" s="2353">
        <f>D1237*0.07</f>
        <v>20.225800000000003</v>
      </c>
      <c r="F1237" s="2296"/>
      <c r="G1237" s="2354"/>
      <c r="H1237" s="657"/>
      <c r="I1237" s="657"/>
      <c r="J1237" s="657"/>
      <c r="K1237" s="657"/>
      <c r="L1237" s="657"/>
      <c r="M1237" s="657"/>
    </row>
    <row r="1238" spans="1:13" ht="15.75" thickBot="1">
      <c r="A1238" s="658"/>
      <c r="B1238" s="659"/>
      <c r="C1238" s="659"/>
      <c r="D1238" s="659"/>
      <c r="E1238" s="659"/>
      <c r="F1238" s="659"/>
      <c r="G1238" s="660"/>
      <c r="H1238" s="657"/>
      <c r="I1238" s="657"/>
      <c r="J1238" s="657"/>
      <c r="K1238" s="657"/>
      <c r="L1238" s="657"/>
      <c r="M1238" s="657"/>
    </row>
    <row r="1239" spans="1:13" ht="15.75" thickBot="1">
      <c r="A1239" s="671" t="s">
        <v>974</v>
      </c>
      <c r="B1239" s="2180" t="s">
        <v>975</v>
      </c>
      <c r="C1239" s="2181"/>
      <c r="D1239" s="2181"/>
      <c r="E1239" s="2181"/>
      <c r="F1239" s="2181"/>
      <c r="G1239" s="2182"/>
      <c r="H1239" s="657"/>
      <c r="I1239" s="657"/>
      <c r="J1239" s="657"/>
      <c r="K1239" s="657"/>
      <c r="L1239" s="657"/>
      <c r="M1239" s="657"/>
    </row>
    <row r="1240" spans="1:13">
      <c r="A1240" s="2248" t="s">
        <v>303</v>
      </c>
      <c r="B1240" s="2249"/>
      <c r="C1240" s="2249"/>
      <c r="D1240" s="2249"/>
      <c r="E1240" s="2249"/>
      <c r="F1240" s="2249"/>
      <c r="G1240" s="2250"/>
      <c r="H1240" s="657"/>
      <c r="I1240" s="657"/>
      <c r="J1240" s="657"/>
      <c r="K1240" s="657"/>
      <c r="L1240" s="657"/>
      <c r="M1240" s="657"/>
    </row>
    <row r="1241" spans="1:13">
      <c r="A1241" s="2399" t="s">
        <v>972</v>
      </c>
      <c r="B1241" s="2400"/>
      <c r="C1241" s="2400"/>
      <c r="D1241" s="2400"/>
      <c r="E1241" s="2400"/>
      <c r="F1241" s="2400"/>
      <c r="G1241" s="2401"/>
      <c r="H1241" s="657"/>
      <c r="I1241" s="657"/>
      <c r="J1241" s="657"/>
      <c r="K1241" s="657"/>
      <c r="L1241" s="657"/>
      <c r="M1241" s="657"/>
    </row>
    <row r="1242" spans="1:13">
      <c r="A1242" s="2402" t="s">
        <v>308</v>
      </c>
      <c r="B1242" s="2403"/>
      <c r="C1242" s="887" t="s">
        <v>631</v>
      </c>
      <c r="D1242" s="887" t="s">
        <v>378</v>
      </c>
      <c r="E1242" s="2404" t="s">
        <v>306</v>
      </c>
      <c r="F1242" s="2405"/>
      <c r="G1242" s="2406"/>
      <c r="H1242" s="657"/>
      <c r="I1242" s="657"/>
      <c r="J1242" s="657"/>
      <c r="K1242" s="657"/>
      <c r="L1242" s="657"/>
      <c r="M1242" s="657"/>
    </row>
    <row r="1243" spans="1:13">
      <c r="A1243" s="2346" t="s">
        <v>976</v>
      </c>
      <c r="B1243" s="2163"/>
      <c r="C1243" s="784">
        <f>27.48+41.78</f>
        <v>69.260000000000005</v>
      </c>
      <c r="D1243" s="784">
        <f>C1243</f>
        <v>69.260000000000005</v>
      </c>
      <c r="E1243" s="2148"/>
      <c r="F1243" s="2149"/>
      <c r="G1243" s="2150"/>
      <c r="H1243" s="657"/>
      <c r="I1243" s="657"/>
      <c r="J1243" s="657"/>
      <c r="K1243" s="657"/>
      <c r="L1243" s="657"/>
      <c r="M1243" s="657"/>
    </row>
    <row r="1244" spans="1:13" ht="15.75" thickBot="1">
      <c r="A1244" s="2308" t="s">
        <v>340</v>
      </c>
      <c r="B1244" s="2271"/>
      <c r="C1244" s="2272"/>
      <c r="D1244" s="888">
        <f>SUM(D1243)</f>
        <v>69.260000000000005</v>
      </c>
      <c r="E1244" s="2353"/>
      <c r="F1244" s="2296"/>
      <c r="G1244" s="2354"/>
      <c r="H1244" s="657"/>
      <c r="I1244" s="657"/>
      <c r="J1244" s="657"/>
      <c r="K1244" s="657"/>
      <c r="L1244" s="657"/>
      <c r="M1244" s="657"/>
    </row>
    <row r="1245" spans="1:13" ht="15.75" thickBot="1">
      <c r="A1245" s="889"/>
      <c r="B1245" s="766"/>
      <c r="C1245" s="766"/>
      <c r="D1245" s="695"/>
      <c r="E1245" s="890"/>
      <c r="F1245" s="890"/>
      <c r="G1245" s="891"/>
      <c r="H1245" s="657"/>
      <c r="I1245" s="657"/>
      <c r="J1245" s="657"/>
      <c r="K1245" s="657"/>
      <c r="L1245" s="657"/>
      <c r="M1245" s="657"/>
    </row>
    <row r="1246" spans="1:13" ht="15.75" thickBot="1">
      <c r="A1246" s="671" t="s">
        <v>977</v>
      </c>
      <c r="B1246" s="2180" t="s">
        <v>978</v>
      </c>
      <c r="C1246" s="2181"/>
      <c r="D1246" s="2181"/>
      <c r="E1246" s="2181"/>
      <c r="F1246" s="2181"/>
      <c r="G1246" s="2182"/>
      <c r="H1246" s="657"/>
      <c r="I1246" s="657"/>
      <c r="J1246" s="657"/>
      <c r="K1246" s="657"/>
      <c r="L1246" s="657"/>
      <c r="M1246" s="657"/>
    </row>
    <row r="1247" spans="1:13">
      <c r="A1247" s="2248" t="s">
        <v>303</v>
      </c>
      <c r="B1247" s="2249"/>
      <c r="C1247" s="2249"/>
      <c r="D1247" s="2249"/>
      <c r="E1247" s="2249"/>
      <c r="F1247" s="2249"/>
      <c r="G1247" s="2250"/>
      <c r="H1247" s="657"/>
      <c r="I1247" s="657"/>
      <c r="J1247" s="657"/>
      <c r="K1247" s="657"/>
      <c r="L1247" s="657"/>
      <c r="M1247" s="657"/>
    </row>
    <row r="1248" spans="1:13">
      <c r="A1248" s="2399" t="s">
        <v>972</v>
      </c>
      <c r="B1248" s="2400"/>
      <c r="C1248" s="2400"/>
      <c r="D1248" s="2400"/>
      <c r="E1248" s="2400"/>
      <c r="F1248" s="2400"/>
      <c r="G1248" s="2401"/>
      <c r="H1248" s="657"/>
      <c r="I1248" s="657"/>
      <c r="J1248" s="657"/>
      <c r="K1248" s="657"/>
      <c r="L1248" s="657"/>
      <c r="M1248" s="657"/>
    </row>
    <row r="1249" spans="1:13">
      <c r="A1249" s="2402" t="s">
        <v>308</v>
      </c>
      <c r="B1249" s="2403"/>
      <c r="C1249" s="887" t="s">
        <v>631</v>
      </c>
      <c r="D1249" s="887" t="s">
        <v>378</v>
      </c>
      <c r="E1249" s="2404" t="s">
        <v>306</v>
      </c>
      <c r="F1249" s="2405"/>
      <c r="G1249" s="2406"/>
      <c r="H1249" s="657"/>
      <c r="I1249" s="657"/>
      <c r="J1249" s="657"/>
      <c r="K1249" s="657"/>
      <c r="L1249" s="657"/>
      <c r="M1249" s="657"/>
    </row>
    <row r="1250" spans="1:13">
      <c r="A1250" s="2312">
        <v>4.17</v>
      </c>
      <c r="B1250" s="2352"/>
      <c r="C1250" s="784">
        <v>4.17</v>
      </c>
      <c r="D1250" s="784">
        <f>C1250</f>
        <v>4.17</v>
      </c>
      <c r="E1250" s="2148"/>
      <c r="F1250" s="2149"/>
      <c r="G1250" s="2150"/>
      <c r="H1250" s="657"/>
      <c r="I1250" s="657"/>
      <c r="J1250" s="657"/>
      <c r="K1250" s="657"/>
      <c r="L1250" s="657"/>
      <c r="M1250" s="657"/>
    </row>
    <row r="1251" spans="1:13" ht="15.75" thickBot="1">
      <c r="A1251" s="2308" t="s">
        <v>340</v>
      </c>
      <c r="B1251" s="2271"/>
      <c r="C1251" s="2272"/>
      <c r="D1251" s="888">
        <f>SUM(D1250)</f>
        <v>4.17</v>
      </c>
      <c r="E1251" s="2353"/>
      <c r="F1251" s="2296"/>
      <c r="G1251" s="2354"/>
      <c r="H1251" s="657"/>
      <c r="I1251" s="657"/>
      <c r="J1251" s="657"/>
      <c r="K1251" s="657"/>
      <c r="L1251" s="657"/>
      <c r="M1251" s="657"/>
    </row>
    <row r="1252" spans="1:13" ht="15.75" thickBot="1">
      <c r="A1252" s="889"/>
      <c r="B1252" s="766"/>
      <c r="C1252" s="766"/>
      <c r="D1252" s="695"/>
      <c r="E1252" s="890"/>
      <c r="F1252" s="890"/>
      <c r="G1252" s="891"/>
      <c r="H1252" s="657"/>
      <c r="I1252" s="657"/>
      <c r="J1252" s="657"/>
      <c r="K1252" s="657"/>
      <c r="L1252" s="657"/>
      <c r="M1252" s="657"/>
    </row>
    <row r="1253" spans="1:13" ht="15.75" thickBot="1">
      <c r="A1253" s="671" t="s">
        <v>979</v>
      </c>
      <c r="B1253" s="2180" t="s">
        <v>980</v>
      </c>
      <c r="C1253" s="2181"/>
      <c r="D1253" s="2181"/>
      <c r="E1253" s="2181"/>
      <c r="F1253" s="2181"/>
      <c r="G1253" s="2182"/>
      <c r="H1253" s="657"/>
      <c r="I1253" s="657"/>
      <c r="J1253" s="657"/>
      <c r="K1253" s="657"/>
      <c r="L1253" s="657"/>
      <c r="M1253" s="657"/>
    </row>
    <row r="1254" spans="1:13">
      <c r="A1254" s="2213" t="s">
        <v>303</v>
      </c>
      <c r="B1254" s="2214"/>
      <c r="C1254" s="2214"/>
      <c r="D1254" s="2214"/>
      <c r="E1254" s="2214"/>
      <c r="F1254" s="2214"/>
      <c r="G1254" s="2215"/>
      <c r="H1254" s="657"/>
      <c r="I1254" s="657"/>
      <c r="J1254" s="657"/>
      <c r="K1254" s="657"/>
      <c r="L1254" s="657"/>
      <c r="M1254" s="657"/>
    </row>
    <row r="1255" spans="1:13">
      <c r="A1255" s="2399" t="s">
        <v>972</v>
      </c>
      <c r="B1255" s="2400"/>
      <c r="C1255" s="2400"/>
      <c r="D1255" s="2400"/>
      <c r="E1255" s="2400"/>
      <c r="F1255" s="2400"/>
      <c r="G1255" s="2401"/>
      <c r="H1255" s="657"/>
      <c r="I1255" s="657"/>
      <c r="J1255" s="657"/>
      <c r="K1255" s="657"/>
      <c r="L1255" s="657"/>
      <c r="M1255" s="657"/>
    </row>
    <row r="1256" spans="1:13">
      <c r="A1256" s="892" t="s">
        <v>308</v>
      </c>
      <c r="B1256" s="887" t="s">
        <v>305</v>
      </c>
      <c r="C1256" s="887" t="s">
        <v>358</v>
      </c>
      <c r="D1256" s="887" t="s">
        <v>363</v>
      </c>
      <c r="E1256" s="2404" t="s">
        <v>306</v>
      </c>
      <c r="F1256" s="2405"/>
      <c r="G1256" s="2406"/>
      <c r="H1256" s="657"/>
      <c r="I1256" s="657"/>
      <c r="J1256" s="657"/>
      <c r="K1256" s="657"/>
      <c r="L1256" s="657"/>
      <c r="M1256" s="657"/>
    </row>
    <row r="1257" spans="1:13" ht="24">
      <c r="A1257" s="770" t="s">
        <v>981</v>
      </c>
      <c r="B1257" s="690" t="s">
        <v>982</v>
      </c>
      <c r="C1257" s="690">
        <f>72.98+21.26+99.48+15.52</f>
        <v>209.24000000000004</v>
      </c>
      <c r="D1257" s="796">
        <f>ROUNDUP(C1257,2)</f>
        <v>209.24</v>
      </c>
      <c r="E1257" s="2280" t="s">
        <v>983</v>
      </c>
      <c r="F1257" s="2301"/>
      <c r="G1257" s="2302"/>
      <c r="H1257" s="657"/>
      <c r="I1257" s="657"/>
      <c r="J1257" s="657"/>
      <c r="K1257" s="657"/>
      <c r="L1257" s="657"/>
      <c r="M1257" s="657"/>
    </row>
    <row r="1258" spans="1:13" ht="15.75" thickBot="1">
      <c r="A1258" s="2308" t="s">
        <v>340</v>
      </c>
      <c r="B1258" s="2271"/>
      <c r="C1258" s="2271"/>
      <c r="D1258" s="888">
        <f>ROUNDUP(D1257,2)</f>
        <v>209.24</v>
      </c>
      <c r="E1258" s="2353"/>
      <c r="F1258" s="2296"/>
      <c r="G1258" s="2354"/>
      <c r="H1258" s="657"/>
      <c r="I1258" s="657"/>
      <c r="J1258" s="657"/>
      <c r="K1258" s="657"/>
      <c r="L1258" s="657"/>
      <c r="M1258" s="657"/>
    </row>
    <row r="1259" spans="1:13" ht="15.75" thickBot="1">
      <c r="A1259" s="658"/>
      <c r="B1259" s="659"/>
      <c r="C1259" s="659"/>
      <c r="D1259" s="659"/>
      <c r="E1259" s="659"/>
      <c r="F1259" s="659"/>
      <c r="G1259" s="660"/>
      <c r="H1259" s="657"/>
      <c r="I1259" s="657"/>
      <c r="J1259" s="657"/>
      <c r="K1259" s="657"/>
      <c r="L1259" s="657"/>
      <c r="M1259" s="657"/>
    </row>
    <row r="1260" spans="1:13" ht="15.75" thickBot="1">
      <c r="A1260" s="671" t="s">
        <v>984</v>
      </c>
      <c r="B1260" s="2180" t="s">
        <v>985</v>
      </c>
      <c r="C1260" s="2181"/>
      <c r="D1260" s="2181"/>
      <c r="E1260" s="2181"/>
      <c r="F1260" s="2181"/>
      <c r="G1260" s="2182"/>
      <c r="H1260" s="657"/>
      <c r="I1260" s="657"/>
      <c r="J1260" s="657"/>
      <c r="K1260" s="657"/>
      <c r="L1260" s="657"/>
      <c r="M1260" s="657"/>
    </row>
    <row r="1261" spans="1:13">
      <c r="A1261" s="2213" t="s">
        <v>303</v>
      </c>
      <c r="B1261" s="2214"/>
      <c r="C1261" s="2214"/>
      <c r="D1261" s="2214"/>
      <c r="E1261" s="2214"/>
      <c r="F1261" s="2214"/>
      <c r="G1261" s="2215"/>
      <c r="H1261" s="657"/>
      <c r="I1261" s="657"/>
      <c r="J1261" s="657"/>
      <c r="K1261" s="657"/>
      <c r="L1261" s="657"/>
      <c r="M1261" s="657"/>
    </row>
    <row r="1262" spans="1:13">
      <c r="A1262" s="2399" t="s">
        <v>972</v>
      </c>
      <c r="B1262" s="2400"/>
      <c r="C1262" s="2400"/>
      <c r="D1262" s="2400"/>
      <c r="E1262" s="2400"/>
      <c r="F1262" s="2400"/>
      <c r="G1262" s="2401"/>
      <c r="H1262" s="657"/>
      <c r="I1262" s="657"/>
      <c r="J1262" s="657"/>
      <c r="K1262" s="657"/>
      <c r="L1262" s="657"/>
      <c r="M1262" s="657"/>
    </row>
    <row r="1263" spans="1:13">
      <c r="A1263" s="892" t="s">
        <v>308</v>
      </c>
      <c r="B1263" s="887" t="s">
        <v>305</v>
      </c>
      <c r="C1263" s="887" t="s">
        <v>358</v>
      </c>
      <c r="D1263" s="887" t="s">
        <v>363</v>
      </c>
      <c r="E1263" s="2404" t="s">
        <v>306</v>
      </c>
      <c r="F1263" s="2405"/>
      <c r="G1263" s="2406"/>
      <c r="H1263" s="657"/>
      <c r="I1263" s="657"/>
      <c r="J1263" s="657"/>
      <c r="K1263" s="657"/>
      <c r="L1263" s="657"/>
      <c r="M1263" s="657"/>
    </row>
    <row r="1264" spans="1:13">
      <c r="A1264" s="770" t="s">
        <v>986</v>
      </c>
      <c r="B1264" s="690" t="s">
        <v>987</v>
      </c>
      <c r="C1264" s="690">
        <f>72.98+21.26+99.48</f>
        <v>193.72000000000003</v>
      </c>
      <c r="D1264" s="796">
        <f>ROUNDUP(C1264,2)</f>
        <v>193.72</v>
      </c>
      <c r="E1264" s="2280" t="s">
        <v>983</v>
      </c>
      <c r="F1264" s="2301"/>
      <c r="G1264" s="2302"/>
      <c r="H1264" s="657"/>
      <c r="I1264" s="657"/>
      <c r="J1264" s="657"/>
      <c r="K1264" s="657"/>
      <c r="L1264" s="657"/>
      <c r="M1264" s="657"/>
    </row>
    <row r="1265" spans="1:13" ht="15.75" thickBot="1">
      <c r="A1265" s="2308" t="s">
        <v>340</v>
      </c>
      <c r="B1265" s="2271"/>
      <c r="C1265" s="2271"/>
      <c r="D1265" s="888">
        <f>ROUNDUP(D1264,2)</f>
        <v>193.72</v>
      </c>
      <c r="E1265" s="2353"/>
      <c r="F1265" s="2296"/>
      <c r="G1265" s="2354"/>
      <c r="H1265" s="657"/>
      <c r="I1265" s="657"/>
      <c r="J1265" s="657"/>
      <c r="K1265" s="657"/>
      <c r="L1265" s="657"/>
      <c r="M1265" s="657"/>
    </row>
    <row r="1266" spans="1:13" ht="15.75" thickBot="1">
      <c r="A1266" s="2321"/>
      <c r="B1266" s="2322"/>
      <c r="C1266" s="2322"/>
      <c r="D1266" s="2322"/>
      <c r="E1266" s="2322"/>
      <c r="F1266" s="2322"/>
      <c r="G1266" s="2323"/>
      <c r="H1266" s="657"/>
      <c r="I1266" s="657"/>
      <c r="J1266" s="657"/>
      <c r="K1266" s="657"/>
      <c r="L1266" s="657"/>
      <c r="M1266" s="657"/>
    </row>
    <row r="1267" spans="1:13" ht="15.75" thickBot="1">
      <c r="A1267" s="671" t="s">
        <v>988</v>
      </c>
      <c r="B1267" s="2180" t="s">
        <v>989</v>
      </c>
      <c r="C1267" s="2181"/>
      <c r="D1267" s="2181"/>
      <c r="E1267" s="2181"/>
      <c r="F1267" s="2181"/>
      <c r="G1267" s="2182"/>
      <c r="H1267" s="657"/>
      <c r="I1267" s="657"/>
      <c r="J1267" s="657"/>
      <c r="K1267" s="657"/>
      <c r="L1267" s="657"/>
      <c r="M1267" s="657"/>
    </row>
    <row r="1268" spans="1:13">
      <c r="A1268" s="2213" t="s">
        <v>303</v>
      </c>
      <c r="B1268" s="2214"/>
      <c r="C1268" s="2214"/>
      <c r="D1268" s="2214"/>
      <c r="E1268" s="2214"/>
      <c r="F1268" s="2214"/>
      <c r="G1268" s="2215"/>
      <c r="H1268" s="657"/>
      <c r="I1268" s="657"/>
      <c r="J1268" s="657"/>
      <c r="K1268" s="657"/>
      <c r="L1268" s="657"/>
      <c r="M1268" s="657"/>
    </row>
    <row r="1269" spans="1:13">
      <c r="A1269" s="2399" t="s">
        <v>972</v>
      </c>
      <c r="B1269" s="2400"/>
      <c r="C1269" s="2400"/>
      <c r="D1269" s="2400"/>
      <c r="E1269" s="2400"/>
      <c r="F1269" s="2400"/>
      <c r="G1269" s="2401"/>
      <c r="H1269" s="657"/>
      <c r="I1269" s="657"/>
      <c r="J1269" s="657"/>
      <c r="K1269" s="657"/>
      <c r="L1269" s="657"/>
      <c r="M1269" s="657"/>
    </row>
    <row r="1270" spans="1:13">
      <c r="A1270" s="892" t="s">
        <v>308</v>
      </c>
      <c r="B1270" s="887" t="s">
        <v>305</v>
      </c>
      <c r="C1270" s="887" t="s">
        <v>358</v>
      </c>
      <c r="D1270" s="887" t="s">
        <v>363</v>
      </c>
      <c r="E1270" s="2404" t="s">
        <v>306</v>
      </c>
      <c r="F1270" s="2405"/>
      <c r="G1270" s="2406"/>
      <c r="H1270" s="657"/>
      <c r="I1270" s="657"/>
      <c r="J1270" s="657"/>
      <c r="K1270" s="657"/>
      <c r="L1270" s="657"/>
      <c r="M1270" s="657"/>
    </row>
    <row r="1271" spans="1:13">
      <c r="A1271" s="770" t="s">
        <v>990</v>
      </c>
      <c r="B1271" s="690">
        <v>15.52</v>
      </c>
      <c r="C1271" s="690">
        <v>15.52</v>
      </c>
      <c r="D1271" s="796">
        <f>ROUNDUP(C1271,2)</f>
        <v>15.52</v>
      </c>
      <c r="E1271" s="2280"/>
      <c r="F1271" s="2301"/>
      <c r="G1271" s="2302"/>
      <c r="H1271" s="657"/>
      <c r="I1271" s="657"/>
      <c r="J1271" s="657"/>
      <c r="K1271" s="657"/>
      <c r="L1271" s="657"/>
      <c r="M1271" s="657"/>
    </row>
    <row r="1272" spans="1:13" ht="15.75" thickBot="1">
      <c r="A1272" s="2308" t="s">
        <v>340</v>
      </c>
      <c r="B1272" s="2271"/>
      <c r="C1272" s="2271"/>
      <c r="D1272" s="888">
        <f>ROUNDUP(D1271,2)</f>
        <v>15.52</v>
      </c>
      <c r="E1272" s="2353"/>
      <c r="F1272" s="2296"/>
      <c r="G1272" s="2354"/>
      <c r="H1272" s="657"/>
      <c r="I1272" s="657"/>
      <c r="J1272" s="657"/>
      <c r="K1272" s="657"/>
      <c r="L1272" s="657"/>
      <c r="M1272" s="657"/>
    </row>
    <row r="1273" spans="1:13" ht="15.75" thickBot="1">
      <c r="A1273" s="658"/>
      <c r="B1273" s="659"/>
      <c r="C1273" s="659"/>
      <c r="D1273" s="659"/>
      <c r="E1273" s="659"/>
      <c r="F1273" s="659"/>
      <c r="G1273" s="660"/>
      <c r="H1273" s="657"/>
      <c r="I1273" s="657"/>
      <c r="J1273" s="657"/>
      <c r="K1273" s="657"/>
      <c r="L1273" s="657"/>
      <c r="M1273" s="657"/>
    </row>
    <row r="1274" spans="1:13" ht="15.75" thickBot="1">
      <c r="A1274" s="671" t="s">
        <v>991</v>
      </c>
      <c r="B1274" s="2180" t="s">
        <v>992</v>
      </c>
      <c r="C1274" s="2181"/>
      <c r="D1274" s="2181"/>
      <c r="E1274" s="2181"/>
      <c r="F1274" s="2181"/>
      <c r="G1274" s="2182"/>
      <c r="H1274" s="657"/>
      <c r="I1274" s="657"/>
      <c r="J1274" s="657"/>
      <c r="K1274" s="657"/>
      <c r="L1274" s="657"/>
      <c r="M1274" s="657"/>
    </row>
    <row r="1275" spans="1:13">
      <c r="A1275" s="2213" t="s">
        <v>303</v>
      </c>
      <c r="B1275" s="2214"/>
      <c r="C1275" s="2214"/>
      <c r="D1275" s="2214"/>
      <c r="E1275" s="2214"/>
      <c r="F1275" s="2214"/>
      <c r="G1275" s="2215"/>
      <c r="H1275" s="657"/>
      <c r="I1275" s="657"/>
      <c r="J1275" s="657"/>
      <c r="K1275" s="657"/>
      <c r="L1275" s="657"/>
      <c r="M1275" s="657"/>
    </row>
    <row r="1276" spans="1:13">
      <c r="A1276" s="2399" t="s">
        <v>972</v>
      </c>
      <c r="B1276" s="2400"/>
      <c r="C1276" s="2400"/>
      <c r="D1276" s="2400"/>
      <c r="E1276" s="2400"/>
      <c r="F1276" s="2400"/>
      <c r="G1276" s="2401"/>
      <c r="H1276" s="657"/>
      <c r="I1276" s="657"/>
      <c r="J1276" s="657"/>
      <c r="K1276" s="657"/>
      <c r="L1276" s="657"/>
      <c r="M1276" s="657"/>
    </row>
    <row r="1277" spans="1:13">
      <c r="A1277" s="892" t="s">
        <v>308</v>
      </c>
      <c r="B1277" s="2404" t="s">
        <v>993</v>
      </c>
      <c r="C1277" s="2403"/>
      <c r="D1277" s="2404" t="s">
        <v>306</v>
      </c>
      <c r="E1277" s="2405"/>
      <c r="F1277" s="2405"/>
      <c r="G1277" s="2406"/>
      <c r="H1277" s="657"/>
      <c r="I1277" s="657"/>
      <c r="J1277" s="657"/>
      <c r="K1277" s="657"/>
      <c r="L1277" s="657"/>
      <c r="M1277" s="657"/>
    </row>
    <row r="1278" spans="1:13" ht="24">
      <c r="A1278" s="770" t="s">
        <v>994</v>
      </c>
      <c r="B1278" s="2266">
        <v>12</v>
      </c>
      <c r="C1278" s="2267"/>
      <c r="D1278" s="2282"/>
      <c r="E1278" s="2283"/>
      <c r="F1278" s="2283"/>
      <c r="G1278" s="2284"/>
      <c r="H1278" s="657"/>
      <c r="I1278" s="657"/>
      <c r="J1278" s="657"/>
      <c r="K1278" s="657"/>
      <c r="L1278" s="657"/>
      <c r="M1278" s="657"/>
    </row>
    <row r="1279" spans="1:13" ht="15.75" thickBot="1">
      <c r="A1279" s="893" t="s">
        <v>340</v>
      </c>
      <c r="B1279" s="2412">
        <f>SUM(B1278)</f>
        <v>12</v>
      </c>
      <c r="C1279" s="2413"/>
      <c r="D1279" s="894"/>
      <c r="E1279" s="711"/>
      <c r="F1279" s="711"/>
      <c r="G1279" s="895"/>
      <c r="H1279" s="657"/>
      <c r="I1279" s="657"/>
      <c r="J1279" s="657"/>
      <c r="K1279" s="657"/>
      <c r="L1279" s="657"/>
      <c r="M1279" s="657"/>
    </row>
    <row r="1280" spans="1:13" ht="15.75" thickBot="1">
      <c r="A1280" s="658"/>
      <c r="B1280" s="659"/>
      <c r="C1280" s="659"/>
      <c r="D1280" s="659"/>
      <c r="E1280" s="659"/>
      <c r="F1280" s="659"/>
      <c r="G1280" s="660"/>
      <c r="H1280" s="657"/>
      <c r="I1280" s="657"/>
      <c r="J1280" s="657"/>
      <c r="K1280" s="657"/>
      <c r="L1280" s="657"/>
      <c r="M1280" s="657"/>
    </row>
    <row r="1281" spans="1:13" ht="15.75" thickBot="1">
      <c r="A1281" s="671" t="s">
        <v>995</v>
      </c>
      <c r="B1281" s="2180" t="s">
        <v>996</v>
      </c>
      <c r="C1281" s="2181"/>
      <c r="D1281" s="2181"/>
      <c r="E1281" s="2181"/>
      <c r="F1281" s="2181"/>
      <c r="G1281" s="2182"/>
      <c r="H1281" s="657"/>
      <c r="I1281" s="657"/>
      <c r="J1281" s="657"/>
      <c r="K1281" s="657"/>
      <c r="L1281" s="657"/>
      <c r="M1281" s="657"/>
    </row>
    <row r="1282" spans="1:13">
      <c r="A1282" s="2213" t="s">
        <v>303</v>
      </c>
      <c r="B1282" s="2214"/>
      <c r="C1282" s="2214"/>
      <c r="D1282" s="2214"/>
      <c r="E1282" s="2214"/>
      <c r="F1282" s="2214"/>
      <c r="G1282" s="2215"/>
      <c r="H1282" s="657"/>
      <c r="I1282" s="657"/>
      <c r="J1282" s="657"/>
      <c r="K1282" s="657"/>
      <c r="L1282" s="657"/>
      <c r="M1282" s="657"/>
    </row>
    <row r="1283" spans="1:13">
      <c r="A1283" s="2399" t="s">
        <v>972</v>
      </c>
      <c r="B1283" s="2400"/>
      <c r="C1283" s="2400"/>
      <c r="D1283" s="2400"/>
      <c r="E1283" s="2400"/>
      <c r="F1283" s="2400"/>
      <c r="G1283" s="2401"/>
      <c r="H1283" s="657"/>
      <c r="I1283" s="657"/>
      <c r="J1283" s="657"/>
      <c r="K1283" s="657"/>
      <c r="L1283" s="657"/>
      <c r="M1283" s="657"/>
    </row>
    <row r="1284" spans="1:13">
      <c r="A1284" s="892" t="s">
        <v>308</v>
      </c>
      <c r="B1284" s="2404" t="s">
        <v>993</v>
      </c>
      <c r="C1284" s="2403"/>
      <c r="D1284" s="2404" t="s">
        <v>306</v>
      </c>
      <c r="E1284" s="2405"/>
      <c r="F1284" s="2405"/>
      <c r="G1284" s="2406"/>
      <c r="H1284" s="657"/>
      <c r="I1284" s="657"/>
      <c r="J1284" s="657"/>
      <c r="K1284" s="657"/>
      <c r="L1284" s="657"/>
      <c r="M1284" s="657"/>
    </row>
    <row r="1285" spans="1:13" ht="24">
      <c r="A1285" s="770" t="s">
        <v>994</v>
      </c>
      <c r="B1285" s="2266">
        <v>7</v>
      </c>
      <c r="C1285" s="2267"/>
      <c r="D1285" s="2282"/>
      <c r="E1285" s="2283"/>
      <c r="F1285" s="2283"/>
      <c r="G1285" s="2284"/>
      <c r="H1285" s="657"/>
      <c r="I1285" s="657"/>
      <c r="J1285" s="657"/>
      <c r="K1285" s="657"/>
      <c r="L1285" s="657"/>
      <c r="M1285" s="657"/>
    </row>
    <row r="1286" spans="1:13" ht="15.75" thickBot="1">
      <c r="A1286" s="893" t="s">
        <v>340</v>
      </c>
      <c r="B1286" s="2412">
        <f>SUM(B1285)</f>
        <v>7</v>
      </c>
      <c r="C1286" s="2413"/>
      <c r="D1286" s="894"/>
      <c r="E1286" s="711"/>
      <c r="F1286" s="711"/>
      <c r="G1286" s="895"/>
      <c r="H1286" s="657"/>
      <c r="I1286" s="657"/>
      <c r="J1286" s="657"/>
      <c r="K1286" s="657"/>
      <c r="L1286" s="657"/>
      <c r="M1286" s="657"/>
    </row>
    <row r="1287" spans="1:13" ht="15.75" thickBot="1">
      <c r="A1287" s="847"/>
      <c r="B1287" s="896"/>
      <c r="C1287" s="896"/>
      <c r="D1287" s="897"/>
      <c r="E1287" s="897"/>
      <c r="F1287" s="897"/>
      <c r="G1287" s="898"/>
      <c r="H1287" s="657"/>
      <c r="I1287" s="657"/>
      <c r="J1287" s="657"/>
      <c r="K1287" s="657"/>
      <c r="L1287" s="657"/>
      <c r="M1287" s="657"/>
    </row>
    <row r="1288" spans="1:13" ht="15.75" thickBot="1">
      <c r="A1288" s="2321"/>
      <c r="B1288" s="2322"/>
      <c r="C1288" s="2322"/>
      <c r="D1288" s="2322"/>
      <c r="E1288" s="2322"/>
      <c r="F1288" s="2322"/>
      <c r="G1288" s="2323"/>
      <c r="H1288" s="657"/>
      <c r="I1288" s="657"/>
      <c r="J1288" s="657"/>
      <c r="K1288" s="657"/>
      <c r="L1288" s="657"/>
      <c r="M1288" s="657"/>
    </row>
    <row r="1289" spans="1:13" ht="15.75" thickBot="1">
      <c r="A1289" s="671" t="s">
        <v>997</v>
      </c>
      <c r="B1289" s="2180" t="s">
        <v>998</v>
      </c>
      <c r="C1289" s="2181"/>
      <c r="D1289" s="2181"/>
      <c r="E1289" s="2181"/>
      <c r="F1289" s="2181"/>
      <c r="G1289" s="2182"/>
      <c r="H1289" s="657"/>
      <c r="I1289" s="657"/>
      <c r="J1289" s="657"/>
      <c r="K1289" s="657"/>
      <c r="L1289" s="657"/>
      <c r="M1289" s="657"/>
    </row>
    <row r="1290" spans="1:13">
      <c r="A1290" s="2192" t="s">
        <v>303</v>
      </c>
      <c r="B1290" s="2193"/>
      <c r="C1290" s="2193"/>
      <c r="D1290" s="2193"/>
      <c r="E1290" s="2193"/>
      <c r="F1290" s="2193"/>
      <c r="G1290" s="2194"/>
      <c r="H1290" s="657"/>
      <c r="I1290" s="657"/>
      <c r="J1290" s="657"/>
      <c r="K1290" s="657"/>
      <c r="L1290" s="657"/>
      <c r="M1290" s="657"/>
    </row>
    <row r="1291" spans="1:13">
      <c r="A1291" s="2399" t="s">
        <v>972</v>
      </c>
      <c r="B1291" s="2400"/>
      <c r="C1291" s="2400"/>
      <c r="D1291" s="2400"/>
      <c r="E1291" s="2400"/>
      <c r="F1291" s="2400"/>
      <c r="G1291" s="2401"/>
      <c r="H1291" s="657"/>
      <c r="I1291" s="657"/>
      <c r="J1291" s="657"/>
      <c r="K1291" s="657"/>
      <c r="L1291" s="657"/>
      <c r="M1291" s="657"/>
    </row>
    <row r="1292" spans="1:13">
      <c r="A1292" s="860" t="s">
        <v>631</v>
      </c>
      <c r="B1292" s="861" t="s">
        <v>999</v>
      </c>
      <c r="C1292" s="861" t="s">
        <v>362</v>
      </c>
      <c r="D1292" s="861" t="s">
        <v>1000</v>
      </c>
      <c r="E1292" s="899" t="s">
        <v>358</v>
      </c>
      <c r="F1292" s="2414" t="s">
        <v>306</v>
      </c>
      <c r="G1292" s="2415"/>
      <c r="H1292" s="657"/>
      <c r="I1292" s="657"/>
      <c r="J1292" s="657"/>
      <c r="K1292" s="657"/>
      <c r="L1292" s="657"/>
      <c r="M1292" s="657"/>
    </row>
    <row r="1293" spans="1:13">
      <c r="A1293" s="770" t="s">
        <v>1001</v>
      </c>
      <c r="B1293" s="884">
        <f>24.9+44.7</f>
        <v>69.599999999999994</v>
      </c>
      <c r="C1293" s="705">
        <v>0.4</v>
      </c>
      <c r="D1293" s="900">
        <f>(3.9*2*0.4)+(1.5*0.4)</f>
        <v>3.72</v>
      </c>
      <c r="E1293" s="901">
        <f>((69.6*0.4))-D1293</f>
        <v>24.12</v>
      </c>
      <c r="F1293" s="2416"/>
      <c r="G1293" s="2156"/>
      <c r="H1293" s="657"/>
      <c r="I1293" s="657"/>
      <c r="J1293" s="657"/>
      <c r="K1293" s="657"/>
      <c r="L1293" s="657"/>
      <c r="M1293" s="657"/>
    </row>
    <row r="1294" spans="1:13" ht="15.75" thickBot="1">
      <c r="A1294" s="2308"/>
      <c r="B1294" s="2271"/>
      <c r="C1294" s="2272"/>
      <c r="D1294" s="844" t="s">
        <v>340</v>
      </c>
      <c r="E1294" s="902">
        <f>E1293</f>
        <v>24.12</v>
      </c>
      <c r="F1294" s="903"/>
      <c r="G1294" s="904"/>
      <c r="H1294" s="657"/>
      <c r="I1294" s="657"/>
      <c r="J1294" s="657"/>
      <c r="K1294" s="657"/>
      <c r="L1294" s="657"/>
      <c r="M1294" s="657"/>
    </row>
    <row r="1295" spans="1:13" ht="15.75" thickBot="1">
      <c r="A1295" s="847"/>
      <c r="B1295" s="896"/>
      <c r="C1295" s="896"/>
      <c r="D1295" s="897"/>
      <c r="E1295" s="897"/>
      <c r="F1295" s="897"/>
      <c r="G1295" s="898"/>
      <c r="H1295" s="657"/>
      <c r="I1295" s="657"/>
      <c r="J1295" s="657"/>
      <c r="K1295" s="657"/>
      <c r="L1295" s="657"/>
      <c r="M1295" s="657"/>
    </row>
    <row r="1296" spans="1:13" ht="15.75" thickBot="1">
      <c r="A1296" s="671" t="s">
        <v>1002</v>
      </c>
      <c r="B1296" s="2180" t="s">
        <v>1003</v>
      </c>
      <c r="C1296" s="2181"/>
      <c r="D1296" s="2181"/>
      <c r="E1296" s="2181"/>
      <c r="F1296" s="2181"/>
      <c r="G1296" s="2182"/>
      <c r="H1296" s="657"/>
      <c r="I1296" s="657"/>
      <c r="J1296" s="657"/>
      <c r="K1296" s="657"/>
      <c r="L1296" s="657"/>
      <c r="M1296" s="657"/>
    </row>
    <row r="1297" spans="1:13">
      <c r="A1297" s="2192" t="s">
        <v>303</v>
      </c>
      <c r="B1297" s="2193"/>
      <c r="C1297" s="2193"/>
      <c r="D1297" s="2193"/>
      <c r="E1297" s="2193"/>
      <c r="F1297" s="2193"/>
      <c r="G1297" s="2194"/>
      <c r="H1297" s="657"/>
      <c r="I1297" s="657"/>
      <c r="J1297" s="657"/>
      <c r="K1297" s="657"/>
      <c r="L1297" s="657"/>
      <c r="M1297" s="657"/>
    </row>
    <row r="1298" spans="1:13">
      <c r="A1298" s="2399" t="s">
        <v>972</v>
      </c>
      <c r="B1298" s="2400"/>
      <c r="C1298" s="2400"/>
      <c r="D1298" s="2400"/>
      <c r="E1298" s="2400"/>
      <c r="F1298" s="2400"/>
      <c r="G1298" s="2401"/>
      <c r="H1298" s="657"/>
      <c r="I1298" s="657"/>
      <c r="J1298" s="657"/>
      <c r="K1298" s="657"/>
      <c r="L1298" s="657"/>
      <c r="M1298" s="657"/>
    </row>
    <row r="1299" spans="1:13">
      <c r="A1299" s="860" t="s">
        <v>631</v>
      </c>
      <c r="B1299" s="861" t="s">
        <v>999</v>
      </c>
      <c r="C1299" s="861" t="s">
        <v>362</v>
      </c>
      <c r="D1299" s="861" t="s">
        <v>1000</v>
      </c>
      <c r="E1299" s="899" t="s">
        <v>358</v>
      </c>
      <c r="F1299" s="2414" t="s">
        <v>306</v>
      </c>
      <c r="G1299" s="2415"/>
      <c r="H1299" s="657"/>
      <c r="I1299" s="657"/>
      <c r="J1299" s="657"/>
      <c r="K1299" s="657"/>
      <c r="L1299" s="657"/>
      <c r="M1299" s="657"/>
    </row>
    <row r="1300" spans="1:13">
      <c r="A1300" s="770" t="s">
        <v>1004</v>
      </c>
      <c r="B1300" s="884">
        <f>((24.9+44.7)*2)</f>
        <v>139.19999999999999</v>
      </c>
      <c r="C1300" s="705">
        <v>0.4</v>
      </c>
      <c r="D1300" s="900">
        <f>((3.9*2*0.4)+(1.5*0.4))*2</f>
        <v>7.44</v>
      </c>
      <c r="E1300" s="901">
        <f>(B1300*C1300)-D1300</f>
        <v>48.24</v>
      </c>
      <c r="F1300" s="2416"/>
      <c r="G1300" s="2156"/>
      <c r="H1300" s="657"/>
      <c r="I1300" s="657"/>
      <c r="J1300" s="657"/>
      <c r="K1300" s="657"/>
      <c r="L1300" s="657"/>
      <c r="M1300" s="657"/>
    </row>
    <row r="1301" spans="1:13">
      <c r="A1301" s="770" t="s">
        <v>1005</v>
      </c>
      <c r="B1301" s="884">
        <f>((24.9+44.7))</f>
        <v>69.599999999999994</v>
      </c>
      <c r="C1301" s="705">
        <v>0.15</v>
      </c>
      <c r="D1301" s="900"/>
      <c r="E1301" s="901">
        <f>(B1301*C1301)</f>
        <v>10.44</v>
      </c>
      <c r="F1301" s="2416"/>
      <c r="G1301" s="2156"/>
      <c r="H1301" s="657"/>
      <c r="I1301" s="657"/>
      <c r="J1301" s="657"/>
      <c r="K1301" s="657"/>
      <c r="L1301" s="657"/>
      <c r="M1301" s="657"/>
    </row>
    <row r="1302" spans="1:13" ht="15.75" thickBot="1">
      <c r="A1302" s="2308"/>
      <c r="B1302" s="2271"/>
      <c r="C1302" s="2272"/>
      <c r="D1302" s="844" t="s">
        <v>340</v>
      </c>
      <c r="E1302" s="902">
        <f>SUM(E1300:E1301)</f>
        <v>58.68</v>
      </c>
      <c r="F1302" s="903"/>
      <c r="G1302" s="904"/>
      <c r="H1302" s="657"/>
      <c r="I1302" s="657"/>
      <c r="J1302" s="657"/>
      <c r="K1302" s="657"/>
      <c r="L1302" s="657"/>
      <c r="M1302" s="657"/>
    </row>
    <row r="1303" spans="1:13" ht="15.75" thickBot="1">
      <c r="A1303" s="847"/>
      <c r="B1303" s="896"/>
      <c r="C1303" s="896"/>
      <c r="D1303" s="897"/>
      <c r="E1303" s="897"/>
      <c r="F1303" s="897"/>
      <c r="G1303" s="898"/>
      <c r="H1303" s="657"/>
      <c r="I1303" s="657"/>
      <c r="J1303" s="657"/>
      <c r="K1303" s="657"/>
      <c r="L1303" s="657"/>
      <c r="M1303" s="657"/>
    </row>
    <row r="1304" spans="1:13" ht="15.75" thickBot="1">
      <c r="A1304" s="671" t="s">
        <v>1006</v>
      </c>
      <c r="B1304" s="2180" t="s">
        <v>1007</v>
      </c>
      <c r="C1304" s="2181"/>
      <c r="D1304" s="2181"/>
      <c r="E1304" s="2181"/>
      <c r="F1304" s="2181"/>
      <c r="G1304" s="2182"/>
      <c r="H1304" s="657"/>
      <c r="I1304" s="657"/>
      <c r="J1304" s="657"/>
      <c r="K1304" s="657"/>
      <c r="L1304" s="657"/>
      <c r="M1304" s="657"/>
    </row>
    <row r="1305" spans="1:13">
      <c r="A1305" s="2192" t="s">
        <v>303</v>
      </c>
      <c r="B1305" s="2193"/>
      <c r="C1305" s="2193"/>
      <c r="D1305" s="2193"/>
      <c r="E1305" s="2193"/>
      <c r="F1305" s="2193"/>
      <c r="G1305" s="2194"/>
      <c r="H1305" s="657"/>
      <c r="I1305" s="657"/>
      <c r="J1305" s="657"/>
      <c r="K1305" s="657"/>
      <c r="L1305" s="657"/>
      <c r="M1305" s="657"/>
    </row>
    <row r="1306" spans="1:13">
      <c r="A1306" s="2399" t="s">
        <v>972</v>
      </c>
      <c r="B1306" s="2400"/>
      <c r="C1306" s="2400"/>
      <c r="D1306" s="2400"/>
      <c r="E1306" s="2400"/>
      <c r="F1306" s="2400"/>
      <c r="G1306" s="2401"/>
      <c r="H1306" s="657"/>
      <c r="I1306" s="657"/>
      <c r="J1306" s="657"/>
      <c r="K1306" s="657"/>
      <c r="L1306" s="657"/>
      <c r="M1306" s="657"/>
    </row>
    <row r="1307" spans="1:13">
      <c r="A1307" s="860" t="s">
        <v>631</v>
      </c>
      <c r="B1307" s="861" t="s">
        <v>999</v>
      </c>
      <c r="C1307" s="861" t="s">
        <v>362</v>
      </c>
      <c r="D1307" s="861" t="s">
        <v>1000</v>
      </c>
      <c r="E1307" s="899" t="s">
        <v>358</v>
      </c>
      <c r="F1307" s="2414" t="s">
        <v>306</v>
      </c>
      <c r="G1307" s="2415"/>
      <c r="H1307" s="657"/>
      <c r="I1307" s="657"/>
      <c r="J1307" s="657"/>
      <c r="K1307" s="657"/>
      <c r="L1307" s="657"/>
      <c r="M1307" s="657"/>
    </row>
    <row r="1308" spans="1:13">
      <c r="A1308" s="770" t="s">
        <v>1004</v>
      </c>
      <c r="B1308" s="884">
        <f>((24.9+44.7)*2)</f>
        <v>139.19999999999999</v>
      </c>
      <c r="C1308" s="705">
        <v>0.4</v>
      </c>
      <c r="D1308" s="900">
        <f>((3.9*2*0.4)+(1.5*0.4))*2</f>
        <v>7.44</v>
      </c>
      <c r="E1308" s="901">
        <f>(B1308*C1308)-D1308</f>
        <v>48.24</v>
      </c>
      <c r="F1308" s="2416"/>
      <c r="G1308" s="2156"/>
      <c r="H1308" s="657"/>
      <c r="I1308" s="657"/>
      <c r="J1308" s="657"/>
      <c r="K1308" s="657"/>
      <c r="L1308" s="657"/>
      <c r="M1308" s="657"/>
    </row>
    <row r="1309" spans="1:13">
      <c r="A1309" s="770" t="s">
        <v>1005</v>
      </c>
      <c r="B1309" s="884">
        <f>((24.9+44.7))</f>
        <v>69.599999999999994</v>
      </c>
      <c r="C1309" s="705">
        <v>0.15</v>
      </c>
      <c r="D1309" s="900"/>
      <c r="E1309" s="901">
        <f>(B1309*C1309)</f>
        <v>10.44</v>
      </c>
      <c r="F1309" s="2416"/>
      <c r="G1309" s="2156"/>
      <c r="H1309" s="657"/>
      <c r="I1309" s="657"/>
      <c r="J1309" s="657"/>
      <c r="K1309" s="657"/>
      <c r="L1309" s="657"/>
      <c r="M1309" s="657"/>
    </row>
    <row r="1310" spans="1:13" ht="15.75" thickBot="1">
      <c r="A1310" s="2308"/>
      <c r="B1310" s="2271"/>
      <c r="C1310" s="2272"/>
      <c r="D1310" s="844" t="s">
        <v>340</v>
      </c>
      <c r="E1310" s="902">
        <f>SUM(E1308:E1309)</f>
        <v>58.68</v>
      </c>
      <c r="F1310" s="903"/>
      <c r="G1310" s="904"/>
      <c r="H1310" s="657"/>
      <c r="I1310" s="657"/>
      <c r="J1310" s="657"/>
      <c r="K1310" s="657"/>
      <c r="L1310" s="657"/>
      <c r="M1310" s="657"/>
    </row>
    <row r="1311" spans="1:13" ht="15.75" thickBot="1">
      <c r="A1311" s="847"/>
      <c r="B1311" s="896"/>
      <c r="C1311" s="896"/>
      <c r="D1311" s="897"/>
      <c r="E1311" s="897"/>
      <c r="F1311" s="897"/>
      <c r="G1311" s="898"/>
      <c r="H1311" s="657"/>
      <c r="I1311" s="657"/>
      <c r="J1311" s="657"/>
      <c r="K1311" s="657"/>
      <c r="L1311" s="657"/>
      <c r="M1311" s="657"/>
    </row>
    <row r="1312" spans="1:13" ht="15.75" thickBot="1">
      <c r="A1312" s="671" t="s">
        <v>1008</v>
      </c>
      <c r="B1312" s="2180" t="s">
        <v>1009</v>
      </c>
      <c r="C1312" s="2181"/>
      <c r="D1312" s="2181"/>
      <c r="E1312" s="2181"/>
      <c r="F1312" s="2181"/>
      <c r="G1312" s="2182"/>
      <c r="H1312" s="657"/>
      <c r="I1312" s="657"/>
      <c r="J1312" s="657"/>
      <c r="K1312" s="657"/>
      <c r="L1312" s="657"/>
      <c r="M1312" s="657"/>
    </row>
    <row r="1313" spans="1:13">
      <c r="A1313" s="2192" t="s">
        <v>303</v>
      </c>
      <c r="B1313" s="2193"/>
      <c r="C1313" s="2193"/>
      <c r="D1313" s="2193"/>
      <c r="E1313" s="2193"/>
      <c r="F1313" s="2193"/>
      <c r="G1313" s="2194"/>
      <c r="H1313" s="657"/>
      <c r="I1313" s="657"/>
      <c r="J1313" s="657"/>
      <c r="K1313" s="657"/>
      <c r="L1313" s="657"/>
      <c r="M1313" s="657"/>
    </row>
    <row r="1314" spans="1:13">
      <c r="A1314" s="2399" t="s">
        <v>972</v>
      </c>
      <c r="B1314" s="2400"/>
      <c r="C1314" s="2400"/>
      <c r="D1314" s="2400"/>
      <c r="E1314" s="2400"/>
      <c r="F1314" s="2400"/>
      <c r="G1314" s="2401"/>
      <c r="H1314" s="657"/>
      <c r="I1314" s="657"/>
      <c r="J1314" s="657"/>
      <c r="K1314" s="657"/>
      <c r="L1314" s="657"/>
      <c r="M1314" s="657"/>
    </row>
    <row r="1315" spans="1:13">
      <c r="A1315" s="860" t="s">
        <v>631</v>
      </c>
      <c r="B1315" s="861" t="s">
        <v>999</v>
      </c>
      <c r="C1315" s="861" t="s">
        <v>362</v>
      </c>
      <c r="D1315" s="861" t="s">
        <v>1000</v>
      </c>
      <c r="E1315" s="899" t="s">
        <v>358</v>
      </c>
      <c r="F1315" s="2414" t="s">
        <v>306</v>
      </c>
      <c r="G1315" s="2415"/>
      <c r="H1315" s="657"/>
      <c r="I1315" s="657"/>
      <c r="J1315" s="657"/>
      <c r="K1315" s="657"/>
      <c r="L1315" s="657"/>
      <c r="M1315" s="657"/>
    </row>
    <row r="1316" spans="1:13">
      <c r="A1316" s="770" t="s">
        <v>1004</v>
      </c>
      <c r="B1316" s="884">
        <f>((24.9+44.7)*2)</f>
        <v>139.19999999999999</v>
      </c>
      <c r="C1316" s="705">
        <v>0.4</v>
      </c>
      <c r="D1316" s="900">
        <f>((3.9*2*0.4)+(1.5*0.4))*2</f>
        <v>7.44</v>
      </c>
      <c r="E1316" s="901">
        <f>(B1316*C1316)-D1316</f>
        <v>48.24</v>
      </c>
      <c r="F1316" s="2416"/>
      <c r="G1316" s="2156"/>
      <c r="H1316" s="657"/>
      <c r="I1316" s="657"/>
      <c r="J1316" s="657"/>
      <c r="K1316" s="657"/>
      <c r="L1316" s="657"/>
      <c r="M1316" s="657"/>
    </row>
    <row r="1317" spans="1:13">
      <c r="A1317" s="770" t="s">
        <v>1005</v>
      </c>
      <c r="B1317" s="884">
        <f>((24.9+44.7))</f>
        <v>69.599999999999994</v>
      </c>
      <c r="C1317" s="705">
        <v>0.15</v>
      </c>
      <c r="D1317" s="900"/>
      <c r="E1317" s="901">
        <f>(B1317*C1317)</f>
        <v>10.44</v>
      </c>
      <c r="F1317" s="2416"/>
      <c r="G1317" s="2156"/>
      <c r="H1317" s="657"/>
      <c r="I1317" s="657"/>
      <c r="J1317" s="657"/>
      <c r="K1317" s="657"/>
      <c r="L1317" s="657"/>
      <c r="M1317" s="657"/>
    </row>
    <row r="1318" spans="1:13" ht="15.75" thickBot="1">
      <c r="A1318" s="2308"/>
      <c r="B1318" s="2271"/>
      <c r="C1318" s="2272"/>
      <c r="D1318" s="844" t="s">
        <v>340</v>
      </c>
      <c r="E1318" s="902">
        <f>SUM(E1316:E1317)</f>
        <v>58.68</v>
      </c>
      <c r="F1318" s="903"/>
      <c r="G1318" s="904"/>
      <c r="H1318" s="657"/>
      <c r="I1318" s="657"/>
      <c r="J1318" s="657"/>
      <c r="K1318" s="657"/>
      <c r="L1318" s="657"/>
      <c r="M1318" s="657"/>
    </row>
    <row r="1319" spans="1:13" ht="15.75" thickBot="1">
      <c r="A1319" s="847"/>
      <c r="B1319" s="896"/>
      <c r="C1319" s="896"/>
      <c r="D1319" s="897"/>
      <c r="E1319" s="897"/>
      <c r="F1319" s="897"/>
      <c r="G1319" s="898"/>
      <c r="H1319" s="657"/>
      <c r="I1319" s="657"/>
      <c r="J1319" s="657"/>
      <c r="K1319" s="657"/>
      <c r="L1319" s="657"/>
      <c r="M1319" s="657"/>
    </row>
    <row r="1320" spans="1:13" ht="15.75" thickBot="1">
      <c r="A1320" s="671" t="s">
        <v>1010</v>
      </c>
      <c r="B1320" s="2180" t="s">
        <v>1011</v>
      </c>
      <c r="C1320" s="2181"/>
      <c r="D1320" s="2181"/>
      <c r="E1320" s="2181"/>
      <c r="F1320" s="2181"/>
      <c r="G1320" s="2182"/>
      <c r="H1320" s="657"/>
      <c r="I1320" s="657"/>
      <c r="J1320" s="657"/>
      <c r="K1320" s="657"/>
      <c r="L1320" s="657"/>
      <c r="M1320" s="657"/>
    </row>
    <row r="1321" spans="1:13">
      <c r="A1321" s="2192" t="s">
        <v>303</v>
      </c>
      <c r="B1321" s="2193"/>
      <c r="C1321" s="2193"/>
      <c r="D1321" s="2193"/>
      <c r="E1321" s="2193"/>
      <c r="F1321" s="2193"/>
      <c r="G1321" s="2194"/>
      <c r="H1321" s="657"/>
      <c r="I1321" s="657"/>
      <c r="J1321" s="657"/>
      <c r="K1321" s="657"/>
      <c r="L1321" s="657"/>
      <c r="M1321" s="657"/>
    </row>
    <row r="1322" spans="1:13">
      <c r="A1322" s="2399" t="s">
        <v>972</v>
      </c>
      <c r="B1322" s="2400"/>
      <c r="C1322" s="2400"/>
      <c r="D1322" s="2400"/>
      <c r="E1322" s="2400"/>
      <c r="F1322" s="2400"/>
      <c r="G1322" s="2401"/>
      <c r="H1322" s="657"/>
      <c r="I1322" s="657"/>
      <c r="J1322" s="657"/>
      <c r="K1322" s="657"/>
      <c r="L1322" s="657"/>
      <c r="M1322" s="657"/>
    </row>
    <row r="1323" spans="1:13">
      <c r="A1323" s="860" t="s">
        <v>631</v>
      </c>
      <c r="B1323" s="861" t="s">
        <v>999</v>
      </c>
      <c r="C1323" s="861" t="s">
        <v>362</v>
      </c>
      <c r="D1323" s="861" t="s">
        <v>1000</v>
      </c>
      <c r="E1323" s="899" t="s">
        <v>358</v>
      </c>
      <c r="F1323" s="2414" t="s">
        <v>306</v>
      </c>
      <c r="G1323" s="2415"/>
      <c r="H1323" s="657"/>
      <c r="I1323" s="657"/>
      <c r="J1323" s="657"/>
      <c r="K1323" s="657"/>
      <c r="L1323" s="657"/>
      <c r="M1323" s="657"/>
    </row>
    <row r="1324" spans="1:13">
      <c r="A1324" s="770" t="s">
        <v>1004</v>
      </c>
      <c r="B1324" s="884">
        <f>((24.9+44.7)*2)</f>
        <v>139.19999999999999</v>
      </c>
      <c r="C1324" s="705">
        <v>0.4</v>
      </c>
      <c r="D1324" s="900">
        <f>((3.9*2*0.4)+(1.5*0.4))*2</f>
        <v>7.44</v>
      </c>
      <c r="E1324" s="901">
        <f>(B1324*C1324)-D1324</f>
        <v>48.24</v>
      </c>
      <c r="F1324" s="2416"/>
      <c r="G1324" s="2156"/>
      <c r="H1324" s="657"/>
      <c r="I1324" s="657"/>
      <c r="J1324" s="657"/>
      <c r="K1324" s="657"/>
      <c r="L1324" s="657"/>
      <c r="M1324" s="657"/>
    </row>
    <row r="1325" spans="1:13">
      <c r="A1325" s="770" t="s">
        <v>1005</v>
      </c>
      <c r="B1325" s="884">
        <f>((24.9+44.7))</f>
        <v>69.599999999999994</v>
      </c>
      <c r="C1325" s="705">
        <v>0.15</v>
      </c>
      <c r="D1325" s="900"/>
      <c r="E1325" s="901">
        <f>(B1325*C1325)</f>
        <v>10.44</v>
      </c>
      <c r="F1325" s="2416"/>
      <c r="G1325" s="2156"/>
      <c r="H1325" s="657"/>
      <c r="I1325" s="657"/>
      <c r="J1325" s="657"/>
      <c r="K1325" s="657"/>
      <c r="L1325" s="657"/>
      <c r="M1325" s="657"/>
    </row>
    <row r="1326" spans="1:13" ht="15.75" thickBot="1">
      <c r="A1326" s="2308"/>
      <c r="B1326" s="2271"/>
      <c r="C1326" s="2272"/>
      <c r="D1326" s="844" t="s">
        <v>340</v>
      </c>
      <c r="E1326" s="902">
        <f>SUM(E1324:E1325)</f>
        <v>58.68</v>
      </c>
      <c r="F1326" s="903"/>
      <c r="G1326" s="904"/>
      <c r="H1326" s="657"/>
      <c r="I1326" s="657"/>
      <c r="J1326" s="657"/>
      <c r="K1326" s="657"/>
      <c r="L1326" s="657"/>
      <c r="M1326" s="657"/>
    </row>
    <row r="1327" spans="1:13" ht="15.75" thickBot="1">
      <c r="A1327" s="847"/>
      <c r="B1327" s="896"/>
      <c r="C1327" s="896"/>
      <c r="D1327" s="897"/>
      <c r="E1327" s="897"/>
      <c r="F1327" s="897"/>
      <c r="G1327" s="898"/>
      <c r="H1327" s="657"/>
      <c r="I1327" s="657"/>
      <c r="J1327" s="657"/>
      <c r="K1327" s="657"/>
      <c r="L1327" s="657"/>
      <c r="M1327" s="657"/>
    </row>
    <row r="1328" spans="1:13" ht="15.75" thickBot="1">
      <c r="A1328" s="671" t="s">
        <v>1012</v>
      </c>
      <c r="B1328" s="2180" t="s">
        <v>1013</v>
      </c>
      <c r="C1328" s="2181"/>
      <c r="D1328" s="2181"/>
      <c r="E1328" s="2181"/>
      <c r="F1328" s="2181"/>
      <c r="G1328" s="2182"/>
      <c r="H1328" s="657"/>
      <c r="I1328" s="657"/>
      <c r="J1328" s="657"/>
      <c r="K1328" s="657"/>
      <c r="L1328" s="657"/>
      <c r="M1328" s="657"/>
    </row>
    <row r="1329" spans="1:13">
      <c r="A1329" s="2192" t="s">
        <v>303</v>
      </c>
      <c r="B1329" s="2193"/>
      <c r="C1329" s="2193"/>
      <c r="D1329" s="2193"/>
      <c r="E1329" s="2193"/>
      <c r="F1329" s="2193"/>
      <c r="G1329" s="2194"/>
      <c r="H1329" s="657"/>
      <c r="I1329" s="657"/>
      <c r="J1329" s="657"/>
      <c r="K1329" s="657"/>
      <c r="L1329" s="657"/>
      <c r="M1329" s="657"/>
    </row>
    <row r="1330" spans="1:13">
      <c r="A1330" s="2399" t="s">
        <v>972</v>
      </c>
      <c r="B1330" s="2400"/>
      <c r="C1330" s="2400"/>
      <c r="D1330" s="2400"/>
      <c r="E1330" s="2400"/>
      <c r="F1330" s="2400"/>
      <c r="G1330" s="2401"/>
      <c r="H1330" s="657"/>
      <c r="I1330" s="657"/>
      <c r="J1330" s="657"/>
      <c r="K1330" s="657"/>
      <c r="L1330" s="657"/>
      <c r="M1330" s="657"/>
    </row>
    <row r="1331" spans="1:13">
      <c r="A1331" s="860" t="s">
        <v>631</v>
      </c>
      <c r="B1331" s="861" t="s">
        <v>999</v>
      </c>
      <c r="C1331" s="861" t="s">
        <v>362</v>
      </c>
      <c r="D1331" s="861" t="s">
        <v>1000</v>
      </c>
      <c r="E1331" s="899" t="s">
        <v>358</v>
      </c>
      <c r="F1331" s="2414" t="s">
        <v>306</v>
      </c>
      <c r="G1331" s="2415"/>
      <c r="H1331" s="657"/>
      <c r="I1331" s="657"/>
      <c r="J1331" s="657"/>
      <c r="K1331" s="657"/>
      <c r="L1331" s="657"/>
      <c r="M1331" s="657"/>
    </row>
    <row r="1332" spans="1:13">
      <c r="A1332" s="770" t="s">
        <v>1004</v>
      </c>
      <c r="B1332" s="884">
        <f>((24.9+44.7)*2)</f>
        <v>139.19999999999999</v>
      </c>
      <c r="C1332" s="705">
        <v>0.4</v>
      </c>
      <c r="D1332" s="900">
        <f>((3.9*2*0.4)+(1.5*0.4))*2</f>
        <v>7.44</v>
      </c>
      <c r="E1332" s="901">
        <f>(B1332*C1332)-D1332</f>
        <v>48.24</v>
      </c>
      <c r="F1332" s="2416"/>
      <c r="G1332" s="2156"/>
      <c r="H1332" s="657"/>
      <c r="I1332" s="657"/>
      <c r="J1332" s="657"/>
      <c r="K1332" s="657"/>
      <c r="L1332" s="657"/>
      <c r="M1332" s="657"/>
    </row>
    <row r="1333" spans="1:13">
      <c r="A1333" s="770" t="s">
        <v>1005</v>
      </c>
      <c r="B1333" s="884">
        <f>((24.9+44.7))</f>
        <v>69.599999999999994</v>
      </c>
      <c r="C1333" s="705">
        <v>0.15</v>
      </c>
      <c r="D1333" s="900"/>
      <c r="E1333" s="901">
        <f>(B1333*C1333)</f>
        <v>10.44</v>
      </c>
      <c r="F1333" s="2416"/>
      <c r="G1333" s="2156"/>
      <c r="H1333" s="657"/>
      <c r="I1333" s="657"/>
      <c r="J1333" s="657"/>
      <c r="K1333" s="657"/>
      <c r="L1333" s="657"/>
      <c r="M1333" s="657"/>
    </row>
    <row r="1334" spans="1:13" ht="15.75" thickBot="1">
      <c r="A1334" s="2308"/>
      <c r="B1334" s="2271"/>
      <c r="C1334" s="2272"/>
      <c r="D1334" s="844" t="s">
        <v>340</v>
      </c>
      <c r="E1334" s="902">
        <f>SUM(E1332:E1333)</f>
        <v>58.68</v>
      </c>
      <c r="F1334" s="903"/>
      <c r="G1334" s="904"/>
      <c r="H1334" s="657"/>
      <c r="I1334" s="657"/>
      <c r="J1334" s="657"/>
      <c r="K1334" s="657"/>
      <c r="L1334" s="657"/>
      <c r="M1334" s="657"/>
    </row>
    <row r="1335" spans="1:13" ht="15.75" thickBot="1">
      <c r="A1335" s="847"/>
      <c r="B1335" s="896"/>
      <c r="C1335" s="896"/>
      <c r="D1335" s="897"/>
      <c r="E1335" s="897"/>
      <c r="F1335" s="897"/>
      <c r="G1335" s="898"/>
      <c r="H1335" s="657"/>
      <c r="I1335" s="657"/>
      <c r="J1335" s="657"/>
      <c r="K1335" s="657"/>
      <c r="L1335" s="657"/>
      <c r="M1335" s="657"/>
    </row>
    <row r="1336" spans="1:13" ht="15.75" thickBot="1">
      <c r="A1336" s="671" t="s">
        <v>1014</v>
      </c>
      <c r="B1336" s="2180" t="s">
        <v>1015</v>
      </c>
      <c r="C1336" s="2181"/>
      <c r="D1336" s="2181"/>
      <c r="E1336" s="2181"/>
      <c r="F1336" s="2181"/>
      <c r="G1336" s="2182"/>
      <c r="H1336" s="657"/>
      <c r="I1336" s="657"/>
      <c r="J1336" s="657"/>
      <c r="K1336" s="657"/>
      <c r="L1336" s="657"/>
      <c r="M1336" s="657"/>
    </row>
    <row r="1337" spans="1:13">
      <c r="A1337" s="2192" t="s">
        <v>303</v>
      </c>
      <c r="B1337" s="2193"/>
      <c r="C1337" s="2193"/>
      <c r="D1337" s="2193"/>
      <c r="E1337" s="2193"/>
      <c r="F1337" s="2193"/>
      <c r="G1337" s="2194"/>
      <c r="H1337" s="657"/>
      <c r="I1337" s="657"/>
      <c r="J1337" s="657"/>
      <c r="K1337" s="657"/>
      <c r="L1337" s="657"/>
      <c r="M1337" s="657"/>
    </row>
    <row r="1338" spans="1:13">
      <c r="A1338" s="2399" t="s">
        <v>972</v>
      </c>
      <c r="B1338" s="2400"/>
      <c r="C1338" s="2400"/>
      <c r="D1338" s="2400"/>
      <c r="E1338" s="2400"/>
      <c r="F1338" s="2400"/>
      <c r="G1338" s="2401"/>
      <c r="H1338" s="657"/>
      <c r="I1338" s="657"/>
      <c r="J1338" s="657"/>
      <c r="K1338" s="657"/>
      <c r="L1338" s="657"/>
      <c r="M1338" s="657"/>
    </row>
    <row r="1339" spans="1:13">
      <c r="A1339" s="860" t="s">
        <v>631</v>
      </c>
      <c r="B1339" s="861" t="s">
        <v>999</v>
      </c>
      <c r="C1339" s="861" t="s">
        <v>362</v>
      </c>
      <c r="D1339" s="861" t="s">
        <v>1000</v>
      </c>
      <c r="E1339" s="899" t="s">
        <v>358</v>
      </c>
      <c r="F1339" s="2414" t="s">
        <v>306</v>
      </c>
      <c r="G1339" s="2415"/>
      <c r="H1339" s="657"/>
      <c r="I1339" s="657"/>
      <c r="J1339" s="657"/>
      <c r="K1339" s="657"/>
      <c r="L1339" s="657"/>
      <c r="M1339" s="657"/>
    </row>
    <row r="1340" spans="1:13">
      <c r="A1340" s="770" t="s">
        <v>1001</v>
      </c>
      <c r="B1340" s="884">
        <f>24.9+44.7</f>
        <v>69.599999999999994</v>
      </c>
      <c r="C1340" s="705">
        <v>2.0299999999999998</v>
      </c>
      <c r="D1340" s="900">
        <v>9.3000000000000007</v>
      </c>
      <c r="E1340" s="1127">
        <f>((69.6*2.03))-D1340</f>
        <v>131.98799999999997</v>
      </c>
      <c r="F1340" s="2416"/>
      <c r="G1340" s="2156"/>
      <c r="H1340" s="657"/>
      <c r="I1340" s="657">
        <f>24.9+44.7</f>
        <v>69.599999999999994</v>
      </c>
      <c r="J1340" s="657">
        <f>I1340*2.03</f>
        <v>141.28799999999998</v>
      </c>
      <c r="K1340" s="657">
        <f>J1340-D1340</f>
        <v>131.98799999999997</v>
      </c>
      <c r="L1340" s="657">
        <f>K1340-122.41</f>
        <v>9.5779999999999745</v>
      </c>
      <c r="M1340" s="657"/>
    </row>
    <row r="1341" spans="1:13" ht="15.75" thickBot="1">
      <c r="A1341" s="2308"/>
      <c r="B1341" s="2271"/>
      <c r="C1341" s="2272"/>
      <c r="D1341" s="844" t="s">
        <v>340</v>
      </c>
      <c r="E1341" s="1126">
        <f>E1340</f>
        <v>131.98799999999997</v>
      </c>
      <c r="F1341" s="905"/>
      <c r="G1341" s="906"/>
      <c r="H1341" s="657"/>
      <c r="I1341" s="657">
        <v>122.41</v>
      </c>
      <c r="J1341" s="657"/>
      <c r="K1341" s="753"/>
      <c r="L1341" s="657"/>
      <c r="M1341" s="657"/>
    </row>
    <row r="1342" spans="1:13" ht="15.75" thickBot="1">
      <c r="A1342" s="847"/>
      <c r="B1342" s="896"/>
      <c r="C1342" s="896"/>
      <c r="D1342" s="897"/>
      <c r="E1342" s="897"/>
      <c r="F1342" s="897"/>
      <c r="G1342" s="898"/>
      <c r="H1342" s="657"/>
      <c r="I1342" s="657"/>
      <c r="J1342" s="657"/>
      <c r="K1342" s="657"/>
      <c r="L1342" s="657"/>
      <c r="M1342" s="657"/>
    </row>
    <row r="1343" spans="1:13" ht="15.75" thickBot="1">
      <c r="A1343" s="671" t="s">
        <v>1016</v>
      </c>
      <c r="B1343" s="2180" t="s">
        <v>1017</v>
      </c>
      <c r="C1343" s="2181"/>
      <c r="D1343" s="2181"/>
      <c r="E1343" s="2181"/>
      <c r="F1343" s="2181"/>
      <c r="G1343" s="2182"/>
      <c r="H1343" s="657"/>
      <c r="I1343" s="657"/>
      <c r="J1343" s="657"/>
      <c r="K1343" s="657"/>
      <c r="L1343" s="657"/>
      <c r="M1343" s="657"/>
    </row>
    <row r="1344" spans="1:13">
      <c r="A1344" s="2417" t="s">
        <v>303</v>
      </c>
      <c r="B1344" s="2418"/>
      <c r="C1344" s="2418"/>
      <c r="D1344" s="2418"/>
      <c r="E1344" s="2418"/>
      <c r="F1344" s="2418"/>
      <c r="G1344" s="2419"/>
      <c r="H1344" s="657"/>
      <c r="I1344" s="657"/>
      <c r="J1344" s="657"/>
      <c r="K1344" s="657"/>
      <c r="L1344" s="657"/>
      <c r="M1344" s="657"/>
    </row>
    <row r="1345" spans="1:13">
      <c r="A1345" s="2399" t="s">
        <v>972</v>
      </c>
      <c r="B1345" s="2400"/>
      <c r="C1345" s="2400"/>
      <c r="D1345" s="2400"/>
      <c r="E1345" s="2400"/>
      <c r="F1345" s="2400"/>
      <c r="G1345" s="2401"/>
      <c r="H1345" s="657"/>
      <c r="I1345" s="657"/>
      <c r="J1345" s="657"/>
      <c r="K1345" s="657"/>
      <c r="L1345" s="657"/>
      <c r="M1345" s="657"/>
    </row>
    <row r="1346" spans="1:13">
      <c r="A1346" s="2402" t="s">
        <v>308</v>
      </c>
      <c r="B1346" s="2403"/>
      <c r="C1346" s="887" t="s">
        <v>632</v>
      </c>
      <c r="D1346" s="887" t="s">
        <v>363</v>
      </c>
      <c r="E1346" s="2404" t="s">
        <v>306</v>
      </c>
      <c r="F1346" s="2405"/>
      <c r="G1346" s="2406"/>
      <c r="H1346" s="657"/>
      <c r="I1346" s="657"/>
      <c r="J1346" s="657"/>
      <c r="K1346" s="657"/>
      <c r="L1346" s="657"/>
      <c r="M1346" s="657"/>
    </row>
    <row r="1347" spans="1:13">
      <c r="A1347" s="2346" t="s">
        <v>630</v>
      </c>
      <c r="B1347" s="2163"/>
      <c r="C1347" s="784">
        <v>334.18</v>
      </c>
      <c r="D1347" s="907">
        <v>334.18</v>
      </c>
      <c r="E1347" s="2148"/>
      <c r="F1347" s="2149"/>
      <c r="G1347" s="2150"/>
      <c r="H1347" s="657"/>
      <c r="I1347" s="657"/>
      <c r="J1347" s="657"/>
      <c r="K1347" s="657"/>
      <c r="L1347" s="657"/>
      <c r="M1347" s="657"/>
    </row>
    <row r="1348" spans="1:13" ht="15.75" thickBot="1">
      <c r="A1348" s="2308" t="s">
        <v>340</v>
      </c>
      <c r="B1348" s="2271"/>
      <c r="C1348" s="2272"/>
      <c r="D1348" s="888">
        <f>SUM(D1347)</f>
        <v>334.18</v>
      </c>
      <c r="E1348" s="2353"/>
      <c r="F1348" s="2296"/>
      <c r="G1348" s="2354"/>
      <c r="H1348" s="657"/>
      <c r="I1348" s="657"/>
      <c r="J1348" s="657"/>
      <c r="K1348" s="657"/>
      <c r="L1348" s="657"/>
      <c r="M1348" s="657"/>
    </row>
    <row r="1349" spans="1:13" ht="15.75" thickBot="1">
      <c r="A1349" s="847"/>
      <c r="B1349" s="896"/>
      <c r="C1349" s="896"/>
      <c r="D1349" s="897"/>
      <c r="E1349" s="897"/>
      <c r="F1349" s="897"/>
      <c r="G1349" s="898"/>
      <c r="H1349" s="657"/>
      <c r="I1349" s="657"/>
      <c r="J1349" s="657"/>
      <c r="K1349" s="657"/>
      <c r="L1349" s="657"/>
      <c r="M1349" s="657"/>
    </row>
    <row r="1350" spans="1:13" ht="15.75" thickBot="1">
      <c r="A1350" s="671" t="s">
        <v>1018</v>
      </c>
      <c r="B1350" s="2180" t="s">
        <v>1019</v>
      </c>
      <c r="C1350" s="2181"/>
      <c r="D1350" s="2181"/>
      <c r="E1350" s="2181"/>
      <c r="F1350" s="2181"/>
      <c r="G1350" s="2182"/>
      <c r="H1350" s="657"/>
      <c r="I1350" s="657"/>
      <c r="J1350" s="657"/>
      <c r="K1350" s="657"/>
      <c r="L1350" s="657"/>
      <c r="M1350" s="657"/>
    </row>
    <row r="1351" spans="1:13">
      <c r="A1351" s="2248" t="s">
        <v>303</v>
      </c>
      <c r="B1351" s="2249"/>
      <c r="C1351" s="2249"/>
      <c r="D1351" s="2249"/>
      <c r="E1351" s="2249"/>
      <c r="F1351" s="2249"/>
      <c r="G1351" s="2250"/>
      <c r="H1351" s="657"/>
      <c r="I1351" s="657"/>
      <c r="J1351" s="657"/>
      <c r="K1351" s="657"/>
      <c r="L1351" s="657"/>
      <c r="M1351" s="657"/>
    </row>
    <row r="1352" spans="1:13">
      <c r="A1352" s="2399" t="s">
        <v>972</v>
      </c>
      <c r="B1352" s="2400"/>
      <c r="C1352" s="2400"/>
      <c r="D1352" s="2400"/>
      <c r="E1352" s="2400"/>
      <c r="F1352" s="2400"/>
      <c r="G1352" s="2401"/>
      <c r="H1352" s="657"/>
      <c r="I1352" s="657"/>
      <c r="J1352" s="657"/>
      <c r="K1352" s="657"/>
      <c r="L1352" s="657"/>
      <c r="M1352" s="657"/>
    </row>
    <row r="1353" spans="1:13">
      <c r="A1353" s="2402" t="s">
        <v>308</v>
      </c>
      <c r="B1353" s="2403"/>
      <c r="C1353" s="887" t="s">
        <v>393</v>
      </c>
      <c r="D1353" s="887" t="s">
        <v>363</v>
      </c>
      <c r="E1353" s="2404" t="s">
        <v>306</v>
      </c>
      <c r="F1353" s="2405"/>
      <c r="G1353" s="2406"/>
      <c r="H1353" s="657"/>
      <c r="I1353" s="657"/>
      <c r="J1353" s="657"/>
      <c r="K1353" s="657"/>
      <c r="L1353" s="657"/>
      <c r="M1353" s="657"/>
    </row>
    <row r="1354" spans="1:13">
      <c r="A1354" s="2346" t="s">
        <v>630</v>
      </c>
      <c r="B1354" s="2163"/>
      <c r="C1354" s="784">
        <v>2.89</v>
      </c>
      <c r="D1354" s="907">
        <f>2.89*2</f>
        <v>5.78</v>
      </c>
      <c r="E1354" s="2148" t="s">
        <v>1020</v>
      </c>
      <c r="F1354" s="2149"/>
      <c r="G1354" s="2150"/>
      <c r="H1354" s="657"/>
      <c r="I1354" s="657"/>
      <c r="J1354" s="657"/>
      <c r="K1354" s="657"/>
      <c r="L1354" s="657"/>
      <c r="M1354" s="657"/>
    </row>
    <row r="1355" spans="1:13" ht="15.75" thickBot="1">
      <c r="A1355" s="2308" t="s">
        <v>340</v>
      </c>
      <c r="B1355" s="2271"/>
      <c r="C1355" s="2272"/>
      <c r="D1355" s="888">
        <f>SUM(D1354)</f>
        <v>5.78</v>
      </c>
      <c r="E1355" s="2353"/>
      <c r="F1355" s="2296"/>
      <c r="G1355" s="2354"/>
      <c r="H1355" s="657"/>
      <c r="I1355" s="657"/>
      <c r="J1355" s="657"/>
      <c r="K1355" s="657"/>
      <c r="L1355" s="657"/>
      <c r="M1355" s="657"/>
    </row>
    <row r="1356" spans="1:13" ht="15.75" thickBot="1">
      <c r="A1356" s="658"/>
      <c r="B1356" s="659"/>
      <c r="C1356" s="659"/>
      <c r="D1356" s="659"/>
      <c r="E1356" s="659"/>
      <c r="F1356" s="659"/>
      <c r="G1356" s="660"/>
      <c r="H1356" s="657"/>
      <c r="I1356" s="657"/>
      <c r="J1356" s="657"/>
      <c r="K1356" s="657"/>
      <c r="L1356" s="657"/>
      <c r="M1356" s="657"/>
    </row>
    <row r="1357" spans="1:13" ht="15.75" thickBot="1">
      <c r="A1357" s="671" t="s">
        <v>1021</v>
      </c>
      <c r="B1357" s="2180" t="s">
        <v>1022</v>
      </c>
      <c r="C1357" s="2181"/>
      <c r="D1357" s="2181"/>
      <c r="E1357" s="2181"/>
      <c r="F1357" s="2181"/>
      <c r="G1357" s="2182"/>
      <c r="H1357" s="657"/>
      <c r="I1357" s="657"/>
      <c r="J1357" s="657"/>
      <c r="K1357" s="657"/>
      <c r="L1357" s="657"/>
      <c r="M1357" s="657"/>
    </row>
    <row r="1358" spans="1:13">
      <c r="A1358" s="2248" t="s">
        <v>303</v>
      </c>
      <c r="B1358" s="2249"/>
      <c r="C1358" s="2249"/>
      <c r="D1358" s="2249"/>
      <c r="E1358" s="2249"/>
      <c r="F1358" s="2249"/>
      <c r="G1358" s="2250"/>
      <c r="H1358" s="657"/>
      <c r="I1358" s="657"/>
      <c r="J1358" s="657"/>
      <c r="K1358" s="657"/>
      <c r="L1358" s="657"/>
      <c r="M1358" s="657"/>
    </row>
    <row r="1359" spans="1:13">
      <c r="A1359" s="2399" t="s">
        <v>972</v>
      </c>
      <c r="B1359" s="2400"/>
      <c r="C1359" s="2400"/>
      <c r="D1359" s="2400"/>
      <c r="E1359" s="2400"/>
      <c r="F1359" s="2400"/>
      <c r="G1359" s="2401"/>
      <c r="H1359" s="657"/>
      <c r="I1359" s="657"/>
      <c r="J1359" s="657"/>
      <c r="K1359" s="657"/>
      <c r="L1359" s="657"/>
      <c r="M1359" s="657"/>
    </row>
    <row r="1360" spans="1:13">
      <c r="A1360" s="2402" t="s">
        <v>308</v>
      </c>
      <c r="B1360" s="2403"/>
      <c r="C1360" s="887" t="s">
        <v>1023</v>
      </c>
      <c r="D1360" s="887" t="s">
        <v>378</v>
      </c>
      <c r="E1360" s="2404" t="s">
        <v>306</v>
      </c>
      <c r="F1360" s="2405"/>
      <c r="G1360" s="2406"/>
      <c r="H1360" s="657"/>
      <c r="I1360" s="657"/>
      <c r="J1360" s="657"/>
      <c r="K1360" s="657"/>
      <c r="L1360" s="657"/>
      <c r="M1360" s="657"/>
    </row>
    <row r="1361" spans="1:13" ht="25.5" customHeight="1">
      <c r="A1361" s="2346" t="s">
        <v>1024</v>
      </c>
      <c r="B1361" s="2163"/>
      <c r="C1361" s="784">
        <f>7.7+(4.9*5)+20.8+(5*5)+(5.9*3)+((0.31+1.2+(1.41*6)+0.7))*2</f>
        <v>117.03999999999999</v>
      </c>
      <c r="D1361" s="907">
        <f>C1361</f>
        <v>117.03999999999999</v>
      </c>
      <c r="E1361" s="2148"/>
      <c r="F1361" s="2149"/>
      <c r="G1361" s="2150"/>
      <c r="H1361" s="657"/>
      <c r="I1361" s="657"/>
      <c r="J1361" s="657"/>
      <c r="K1361" s="657"/>
      <c r="L1361" s="657"/>
      <c r="M1361" s="657"/>
    </row>
    <row r="1362" spans="1:13" ht="15.75" thickBot="1">
      <c r="A1362" s="2308" t="s">
        <v>340</v>
      </c>
      <c r="B1362" s="2271"/>
      <c r="C1362" s="2272"/>
      <c r="D1362" s="888">
        <f>SUM(D1361)</f>
        <v>117.03999999999999</v>
      </c>
      <c r="E1362" s="2353"/>
      <c r="F1362" s="2296"/>
      <c r="G1362" s="2354"/>
      <c r="H1362" s="657"/>
      <c r="I1362" s="657"/>
      <c r="J1362" s="657"/>
      <c r="K1362" s="657"/>
      <c r="L1362" s="657"/>
      <c r="M1362" s="657"/>
    </row>
    <row r="1363" spans="1:13" ht="15.75" thickBot="1">
      <c r="A1363" s="658"/>
      <c r="B1363" s="659"/>
      <c r="C1363" s="659"/>
      <c r="D1363" s="659"/>
      <c r="E1363" s="659"/>
      <c r="F1363" s="659"/>
      <c r="G1363" s="660"/>
      <c r="H1363" s="657"/>
      <c r="I1363" s="657"/>
      <c r="J1363" s="657"/>
      <c r="K1363" s="657"/>
      <c r="L1363" s="657"/>
      <c r="M1363" s="657"/>
    </row>
    <row r="1364" spans="1:13" ht="15.75" thickBot="1">
      <c r="A1364" s="671" t="s">
        <v>1025</v>
      </c>
      <c r="B1364" s="2180" t="s">
        <v>1026</v>
      </c>
      <c r="C1364" s="2181"/>
      <c r="D1364" s="2181"/>
      <c r="E1364" s="2181"/>
      <c r="F1364" s="2181"/>
      <c r="G1364" s="2182"/>
      <c r="H1364" s="657"/>
      <c r="I1364" s="657"/>
      <c r="J1364" s="657"/>
      <c r="K1364" s="657"/>
      <c r="L1364" s="657"/>
      <c r="M1364" s="657"/>
    </row>
    <row r="1365" spans="1:13">
      <c r="A1365" s="2248" t="s">
        <v>303</v>
      </c>
      <c r="B1365" s="2249"/>
      <c r="C1365" s="2249"/>
      <c r="D1365" s="2249"/>
      <c r="E1365" s="2249"/>
      <c r="F1365" s="2249"/>
      <c r="G1365" s="2250"/>
      <c r="H1365" s="657"/>
      <c r="I1365" s="657"/>
      <c r="J1365" s="657"/>
      <c r="K1365" s="657"/>
      <c r="L1365" s="657"/>
      <c r="M1365" s="657"/>
    </row>
    <row r="1366" spans="1:13">
      <c r="A1366" s="2241" t="s">
        <v>1027</v>
      </c>
      <c r="B1366" s="2228"/>
      <c r="C1366" s="2228"/>
      <c r="D1366" s="2228"/>
      <c r="E1366" s="2228"/>
      <c r="F1366" s="2228"/>
      <c r="G1366" s="2229"/>
      <c r="H1366" s="657"/>
      <c r="I1366" s="657"/>
      <c r="J1366" s="657"/>
      <c r="K1366" s="657"/>
      <c r="L1366" s="657"/>
      <c r="M1366" s="657"/>
    </row>
    <row r="1367" spans="1:13">
      <c r="A1367" s="892" t="s">
        <v>308</v>
      </c>
      <c r="B1367" s="887" t="s">
        <v>1028</v>
      </c>
      <c r="C1367" s="887" t="s">
        <v>393</v>
      </c>
      <c r="D1367" s="887" t="s">
        <v>1029</v>
      </c>
      <c r="E1367" s="2404" t="s">
        <v>306</v>
      </c>
      <c r="F1367" s="2405"/>
      <c r="G1367" s="2406"/>
      <c r="H1367" s="657"/>
      <c r="I1367" s="657"/>
      <c r="J1367" s="657"/>
      <c r="K1367" s="657"/>
      <c r="L1367" s="657"/>
      <c r="M1367" s="657"/>
    </row>
    <row r="1368" spans="1:13" ht="24">
      <c r="A1368" s="770" t="s">
        <v>1030</v>
      </c>
      <c r="B1368" s="908">
        <v>248</v>
      </c>
      <c r="C1368" s="690">
        <f>0.25*0.25</f>
        <v>6.25E-2</v>
      </c>
      <c r="D1368" s="796">
        <f>ROUNDUP(C1368*B1368,2)</f>
        <v>15.5</v>
      </c>
      <c r="E1368" s="2280" t="s">
        <v>1031</v>
      </c>
      <c r="F1368" s="2301"/>
      <c r="G1368" s="2302"/>
      <c r="H1368" s="657"/>
      <c r="I1368" s="657"/>
      <c r="J1368" s="657"/>
      <c r="K1368" s="657"/>
      <c r="L1368" s="657"/>
      <c r="M1368" s="657"/>
    </row>
    <row r="1369" spans="1:13">
      <c r="A1369" s="770" t="s">
        <v>1032</v>
      </c>
      <c r="B1369" s="908">
        <v>63</v>
      </c>
      <c r="C1369" s="690">
        <f>0.25*0.25</f>
        <v>6.25E-2</v>
      </c>
      <c r="D1369" s="796">
        <f>ROUNDUP(C1369*B1369,2)</f>
        <v>3.94</v>
      </c>
      <c r="E1369" s="2369"/>
      <c r="F1369" s="2420"/>
      <c r="G1369" s="2370"/>
      <c r="H1369" s="657"/>
      <c r="I1369" s="657"/>
      <c r="J1369" s="657"/>
      <c r="K1369" s="657"/>
      <c r="L1369" s="657"/>
      <c r="M1369" s="657"/>
    </row>
    <row r="1370" spans="1:13" ht="15.75" thickBot="1">
      <c r="A1370" s="909" t="s">
        <v>340</v>
      </c>
      <c r="B1370" s="910">
        <f>ROUNDUP(B1369+B1368,2)</f>
        <v>311</v>
      </c>
      <c r="C1370" s="911"/>
      <c r="D1370" s="888">
        <f>ROUNDUP(D1369+D1368,2)</f>
        <v>19.440000000000001</v>
      </c>
      <c r="E1370" s="2421"/>
      <c r="F1370" s="2422"/>
      <c r="G1370" s="2423"/>
      <c r="H1370" s="657"/>
      <c r="I1370" s="657">
        <f>311*0.25</f>
        <v>77.75</v>
      </c>
      <c r="J1370" s="657" t="s">
        <v>1490</v>
      </c>
      <c r="K1370" s="657"/>
      <c r="L1370" s="657"/>
      <c r="M1370" s="657"/>
    </row>
    <row r="1371" spans="1:13" ht="15.75" thickBot="1">
      <c r="A1371" s="658"/>
      <c r="B1371" s="659"/>
      <c r="C1371" s="659"/>
      <c r="D1371" s="659"/>
      <c r="E1371" s="659"/>
      <c r="F1371" s="659"/>
      <c r="G1371" s="660"/>
      <c r="H1371" s="657"/>
      <c r="I1371" s="657"/>
      <c r="J1371" s="657"/>
      <c r="K1371" s="657"/>
      <c r="L1371" s="657"/>
      <c r="M1371" s="657"/>
    </row>
    <row r="1372" spans="1:13" ht="15.75" thickBot="1">
      <c r="A1372" s="671" t="s">
        <v>1033</v>
      </c>
      <c r="B1372" s="2180" t="s">
        <v>2152</v>
      </c>
      <c r="C1372" s="2181"/>
      <c r="D1372" s="2181"/>
      <c r="E1372" s="2181"/>
      <c r="F1372" s="2181"/>
      <c r="G1372" s="2182"/>
      <c r="H1372" s="657"/>
      <c r="I1372" s="657"/>
      <c r="J1372" s="657"/>
      <c r="K1372" s="657"/>
      <c r="L1372" s="657"/>
      <c r="M1372" s="657"/>
    </row>
    <row r="1373" spans="1:13">
      <c r="A1373" s="2192" t="s">
        <v>303</v>
      </c>
      <c r="B1373" s="2193"/>
      <c r="C1373" s="2193"/>
      <c r="D1373" s="2193"/>
      <c r="E1373" s="2193"/>
      <c r="F1373" s="2193"/>
      <c r="G1373" s="2194"/>
      <c r="H1373" s="657"/>
      <c r="I1373" s="657"/>
      <c r="J1373" s="657"/>
      <c r="K1373" s="657"/>
      <c r="L1373" s="657"/>
      <c r="M1373" s="657"/>
    </row>
    <row r="1374" spans="1:13">
      <c r="A1374" s="2399" t="s">
        <v>972</v>
      </c>
      <c r="B1374" s="2400"/>
      <c r="C1374" s="2400"/>
      <c r="D1374" s="2400"/>
      <c r="E1374" s="2400"/>
      <c r="F1374" s="2400"/>
      <c r="G1374" s="2401"/>
      <c r="H1374" s="657"/>
      <c r="I1374" s="657"/>
      <c r="J1374" s="657"/>
      <c r="K1374" s="657"/>
      <c r="L1374" s="657"/>
      <c r="M1374" s="657"/>
    </row>
    <row r="1375" spans="1:13">
      <c r="A1375" s="860" t="s">
        <v>631</v>
      </c>
      <c r="B1375" s="861" t="s">
        <v>999</v>
      </c>
      <c r="C1375" s="861" t="s">
        <v>362</v>
      </c>
      <c r="D1375" s="861" t="s">
        <v>1000</v>
      </c>
      <c r="E1375" s="899" t="s">
        <v>358</v>
      </c>
      <c r="F1375" s="2414" t="s">
        <v>306</v>
      </c>
      <c r="G1375" s="2415"/>
      <c r="H1375" s="657"/>
      <c r="I1375" s="657"/>
      <c r="J1375" s="657"/>
      <c r="K1375" s="657"/>
      <c r="L1375" s="657"/>
      <c r="M1375" s="657"/>
    </row>
    <row r="1376" spans="1:13">
      <c r="A1376" s="770" t="s">
        <v>2153</v>
      </c>
      <c r="B1376" s="884">
        <f>73.76+38.45</f>
        <v>112.21000000000001</v>
      </c>
      <c r="C1376" s="1043">
        <v>2.5</v>
      </c>
      <c r="D1376" s="900"/>
      <c r="E1376" s="901">
        <f>B1376*C1376</f>
        <v>280.52500000000003</v>
      </c>
      <c r="F1376" s="2416"/>
      <c r="G1376" s="2156"/>
      <c r="H1376" s="657"/>
      <c r="I1376" s="657"/>
      <c r="J1376" s="657"/>
      <c r="K1376" s="657"/>
      <c r="L1376" s="657"/>
      <c r="M1376" s="657"/>
    </row>
    <row r="1377" spans="1:13" ht="15.75" thickBot="1">
      <c r="A1377" s="2308"/>
      <c r="B1377" s="2271"/>
      <c r="C1377" s="2272"/>
      <c r="D1377" s="844" t="s">
        <v>340</v>
      </c>
      <c r="E1377" s="902">
        <f>E1376</f>
        <v>280.52500000000003</v>
      </c>
      <c r="F1377" s="905"/>
      <c r="G1377" s="906"/>
      <c r="H1377" s="657"/>
      <c r="I1377" s="657"/>
      <c r="J1377" s="657"/>
      <c r="K1377" s="657"/>
      <c r="L1377" s="657"/>
      <c r="M1377" s="657"/>
    </row>
    <row r="1378" spans="1:13" ht="15.75" thickBot="1">
      <c r="A1378" s="658"/>
      <c r="B1378" s="659"/>
      <c r="C1378" s="659"/>
      <c r="D1378" s="659"/>
      <c r="E1378" s="659"/>
      <c r="F1378" s="659"/>
      <c r="G1378" s="660"/>
      <c r="H1378" s="657"/>
      <c r="I1378" s="657"/>
      <c r="J1378" s="657"/>
      <c r="K1378" s="657"/>
      <c r="L1378" s="657"/>
      <c r="M1378" s="657"/>
    </row>
    <row r="1379" spans="1:13" ht="15.75" thickBot="1">
      <c r="A1379" s="671" t="s">
        <v>1034</v>
      </c>
      <c r="B1379" s="2180" t="s">
        <v>1035</v>
      </c>
      <c r="C1379" s="2181"/>
      <c r="D1379" s="2181"/>
      <c r="E1379" s="2181"/>
      <c r="F1379" s="2181"/>
      <c r="G1379" s="2182"/>
      <c r="H1379" s="657"/>
      <c r="I1379" s="657"/>
      <c r="J1379" s="657"/>
      <c r="K1379" s="657"/>
      <c r="L1379" s="657"/>
      <c r="M1379" s="657"/>
    </row>
    <row r="1380" spans="1:13">
      <c r="A1380" s="2192" t="s">
        <v>303</v>
      </c>
      <c r="B1380" s="2193"/>
      <c r="C1380" s="2193"/>
      <c r="D1380" s="2193"/>
      <c r="E1380" s="2193"/>
      <c r="F1380" s="2193"/>
      <c r="G1380" s="2194"/>
      <c r="H1380" s="657"/>
      <c r="I1380" s="657"/>
      <c r="J1380" s="657"/>
      <c r="K1380" s="657"/>
      <c r="L1380" s="657"/>
      <c r="M1380" s="657"/>
    </row>
    <row r="1381" spans="1:13">
      <c r="A1381" s="2399" t="s">
        <v>972</v>
      </c>
      <c r="B1381" s="2400"/>
      <c r="C1381" s="2400"/>
      <c r="D1381" s="2400"/>
      <c r="E1381" s="2400"/>
      <c r="F1381" s="2400"/>
      <c r="G1381" s="2401"/>
      <c r="H1381" s="657"/>
      <c r="I1381" s="657"/>
      <c r="J1381" s="657"/>
      <c r="K1381" s="657"/>
      <c r="L1381" s="657"/>
      <c r="M1381" s="657"/>
    </row>
    <row r="1382" spans="1:13">
      <c r="A1382" s="860" t="s">
        <v>631</v>
      </c>
      <c r="B1382" s="861" t="s">
        <v>999</v>
      </c>
      <c r="C1382" s="861" t="s">
        <v>362</v>
      </c>
      <c r="D1382" s="861" t="s">
        <v>1000</v>
      </c>
      <c r="E1382" s="899" t="s">
        <v>358</v>
      </c>
      <c r="F1382" s="2414" t="s">
        <v>306</v>
      </c>
      <c r="G1382" s="2415"/>
      <c r="H1382" s="657"/>
      <c r="I1382" s="657"/>
      <c r="J1382" s="657"/>
      <c r="K1382" s="657"/>
      <c r="L1382" s="657"/>
      <c r="M1382" s="657"/>
    </row>
    <row r="1383" spans="1:13">
      <c r="A1383" s="770" t="s">
        <v>1036</v>
      </c>
      <c r="B1383" s="884">
        <f>((73.76+38.25)*2)</f>
        <v>224.02</v>
      </c>
      <c r="C1383" s="705">
        <v>2.5</v>
      </c>
      <c r="D1383" s="900"/>
      <c r="E1383" s="901">
        <f>B1383*C1383</f>
        <v>560.05000000000007</v>
      </c>
      <c r="F1383" s="2416"/>
      <c r="G1383" s="2156"/>
      <c r="H1383" s="657"/>
      <c r="I1383" s="657"/>
      <c r="J1383" s="657"/>
      <c r="K1383" s="657"/>
      <c r="L1383" s="657"/>
      <c r="M1383" s="657"/>
    </row>
    <row r="1384" spans="1:13">
      <c r="A1384" s="770" t="s">
        <v>1037</v>
      </c>
      <c r="B1384" s="884">
        <f>(73.76+38.25)</f>
        <v>112.01</v>
      </c>
      <c r="C1384" s="705">
        <v>0.15</v>
      </c>
      <c r="D1384" s="900"/>
      <c r="E1384" s="901">
        <f>B1384*C1384</f>
        <v>16.801500000000001</v>
      </c>
      <c r="F1384" s="669"/>
      <c r="G1384" s="670"/>
      <c r="H1384" s="657"/>
      <c r="I1384" s="657"/>
      <c r="J1384" s="657"/>
      <c r="K1384" s="657"/>
      <c r="L1384" s="657"/>
      <c r="M1384" s="657"/>
    </row>
    <row r="1385" spans="1:13" ht="15.75" thickBot="1">
      <c r="A1385" s="2308"/>
      <c r="B1385" s="2271"/>
      <c r="C1385" s="2272"/>
      <c r="D1385" s="844" t="s">
        <v>340</v>
      </c>
      <c r="E1385" s="902">
        <f>SUM(E1383:E1384)</f>
        <v>576.8515000000001</v>
      </c>
      <c r="F1385" s="903"/>
      <c r="G1385" s="904"/>
      <c r="H1385" s="657"/>
      <c r="I1385" s="657"/>
      <c r="J1385" s="657"/>
      <c r="K1385" s="657"/>
      <c r="L1385" s="657"/>
      <c r="M1385" s="657"/>
    </row>
    <row r="1386" spans="1:13" ht="15.75" thickBot="1">
      <c r="A1386" s="658"/>
      <c r="B1386" s="659"/>
      <c r="C1386" s="659"/>
      <c r="D1386" s="659"/>
      <c r="E1386" s="659"/>
      <c r="F1386" s="659"/>
      <c r="G1386" s="660"/>
      <c r="H1386" s="657"/>
      <c r="I1386" s="657"/>
      <c r="J1386" s="657"/>
      <c r="K1386" s="657"/>
      <c r="L1386" s="657"/>
      <c r="M1386" s="657"/>
    </row>
    <row r="1387" spans="1:13" ht="15.75" thickBot="1">
      <c r="A1387" s="671" t="s">
        <v>1038</v>
      </c>
      <c r="B1387" s="2180" t="s">
        <v>2089</v>
      </c>
      <c r="C1387" s="2181"/>
      <c r="D1387" s="2181"/>
      <c r="E1387" s="2181"/>
      <c r="F1387" s="2181"/>
      <c r="G1387" s="2182"/>
      <c r="H1387" s="657"/>
      <c r="I1387" s="929"/>
      <c r="J1387" s="657"/>
      <c r="K1387" s="657"/>
      <c r="L1387" s="657"/>
      <c r="M1387" s="657"/>
    </row>
    <row r="1388" spans="1:13">
      <c r="A1388" s="2192" t="s">
        <v>303</v>
      </c>
      <c r="B1388" s="2193"/>
      <c r="C1388" s="2193"/>
      <c r="D1388" s="2193"/>
      <c r="E1388" s="2193"/>
      <c r="F1388" s="2193"/>
      <c r="G1388" s="2194"/>
      <c r="H1388" s="657"/>
      <c r="I1388" s="657"/>
      <c r="J1388" s="657"/>
      <c r="K1388" s="657"/>
      <c r="L1388" s="657"/>
      <c r="M1388" s="657"/>
    </row>
    <row r="1389" spans="1:13">
      <c r="A1389" s="2399" t="s">
        <v>972</v>
      </c>
      <c r="B1389" s="2400"/>
      <c r="C1389" s="2400"/>
      <c r="D1389" s="2400"/>
      <c r="E1389" s="2400"/>
      <c r="F1389" s="2400"/>
      <c r="G1389" s="2401"/>
      <c r="H1389" s="657"/>
      <c r="I1389" s="657"/>
      <c r="J1389" s="657"/>
      <c r="K1389" s="657"/>
      <c r="L1389" s="657"/>
      <c r="M1389" s="657"/>
    </row>
    <row r="1390" spans="1:13">
      <c r="A1390" s="860" t="s">
        <v>631</v>
      </c>
      <c r="B1390" s="861" t="s">
        <v>999</v>
      </c>
      <c r="C1390" s="861" t="s">
        <v>362</v>
      </c>
      <c r="D1390" s="861" t="s">
        <v>1000</v>
      </c>
      <c r="E1390" s="899" t="s">
        <v>358</v>
      </c>
      <c r="F1390" s="2414" t="s">
        <v>306</v>
      </c>
      <c r="G1390" s="2415"/>
      <c r="H1390" s="657"/>
      <c r="I1390" s="657"/>
      <c r="J1390" s="657"/>
      <c r="K1390" s="657"/>
      <c r="L1390" s="657"/>
      <c r="M1390" s="657"/>
    </row>
    <row r="1391" spans="1:13">
      <c r="A1391" s="770" t="s">
        <v>1036</v>
      </c>
      <c r="B1391" s="884">
        <f>((73.76+38.25)*2)</f>
        <v>224.02</v>
      </c>
      <c r="C1391" s="705">
        <v>2.5</v>
      </c>
      <c r="D1391" s="900"/>
      <c r="E1391" s="901">
        <f>B1391*C1391</f>
        <v>560.05000000000007</v>
      </c>
      <c r="F1391" s="2416"/>
      <c r="G1391" s="2156"/>
      <c r="H1391" s="657"/>
      <c r="I1391" s="657"/>
      <c r="J1391" s="657"/>
      <c r="K1391" s="657"/>
      <c r="L1391" s="657"/>
      <c r="M1391" s="657"/>
    </row>
    <row r="1392" spans="1:13">
      <c r="A1392" s="770" t="s">
        <v>1037</v>
      </c>
      <c r="B1392" s="884">
        <f>(73.76+38.25)</f>
        <v>112.01</v>
      </c>
      <c r="C1392" s="705">
        <v>0.15</v>
      </c>
      <c r="D1392" s="900"/>
      <c r="E1392" s="901">
        <f>B1392*C1392</f>
        <v>16.801500000000001</v>
      </c>
      <c r="F1392" s="669"/>
      <c r="G1392" s="670"/>
      <c r="H1392" s="657"/>
      <c r="I1392" s="657"/>
      <c r="J1392" s="657"/>
      <c r="K1392" s="657"/>
      <c r="L1392" s="657"/>
      <c r="M1392" s="657"/>
    </row>
    <row r="1393" spans="1:13" ht="15.75" thickBot="1">
      <c r="A1393" s="2308"/>
      <c r="B1393" s="2271"/>
      <c r="C1393" s="2272"/>
      <c r="D1393" s="844" t="s">
        <v>340</v>
      </c>
      <c r="E1393" s="902">
        <f>SUM(E1391:E1392)</f>
        <v>576.8515000000001</v>
      </c>
      <c r="F1393" s="903"/>
      <c r="G1393" s="904"/>
      <c r="H1393" s="657"/>
      <c r="I1393" s="657"/>
      <c r="J1393" s="657"/>
      <c r="K1393" s="657"/>
      <c r="L1393" s="657"/>
      <c r="M1393" s="657"/>
    </row>
    <row r="1394" spans="1:13" ht="15.75" thickBot="1">
      <c r="A1394" s="658"/>
      <c r="B1394" s="659"/>
      <c r="C1394" s="659"/>
      <c r="D1394" s="659"/>
      <c r="E1394" s="659"/>
      <c r="F1394" s="659"/>
      <c r="G1394" s="660"/>
      <c r="H1394" s="657"/>
      <c r="I1394" s="657"/>
      <c r="J1394" s="657"/>
      <c r="K1394" s="657"/>
      <c r="L1394" s="657"/>
      <c r="M1394" s="657"/>
    </row>
    <row r="1395" spans="1:13" ht="15.75" thickBot="1">
      <c r="A1395" s="671" t="s">
        <v>1039</v>
      </c>
      <c r="B1395" s="2180" t="s">
        <v>1041</v>
      </c>
      <c r="C1395" s="2181"/>
      <c r="D1395" s="2181"/>
      <c r="E1395" s="2181"/>
      <c r="F1395" s="2181"/>
      <c r="G1395" s="2182"/>
      <c r="H1395" s="657"/>
      <c r="I1395" s="657"/>
      <c r="J1395" s="657"/>
      <c r="K1395" s="657"/>
      <c r="L1395" s="657"/>
      <c r="M1395" s="657"/>
    </row>
    <row r="1396" spans="1:13">
      <c r="A1396" s="2192" t="s">
        <v>303</v>
      </c>
      <c r="B1396" s="2193"/>
      <c r="C1396" s="2193"/>
      <c r="D1396" s="2193"/>
      <c r="E1396" s="2193"/>
      <c r="F1396" s="2193"/>
      <c r="G1396" s="2194"/>
      <c r="H1396" s="657"/>
      <c r="I1396" s="657"/>
      <c r="J1396" s="657"/>
      <c r="K1396" s="657"/>
      <c r="L1396" s="657"/>
      <c r="M1396" s="657"/>
    </row>
    <row r="1397" spans="1:13">
      <c r="A1397" s="2399" t="s">
        <v>972</v>
      </c>
      <c r="B1397" s="2400"/>
      <c r="C1397" s="2400"/>
      <c r="D1397" s="2400"/>
      <c r="E1397" s="2400"/>
      <c r="F1397" s="2400"/>
      <c r="G1397" s="2401"/>
      <c r="H1397" s="657"/>
      <c r="I1397" s="657"/>
      <c r="J1397" s="657"/>
      <c r="K1397" s="657"/>
      <c r="L1397" s="657"/>
      <c r="M1397" s="657"/>
    </row>
    <row r="1398" spans="1:13">
      <c r="A1398" s="860" t="s">
        <v>631</v>
      </c>
      <c r="B1398" s="861" t="s">
        <v>999</v>
      </c>
      <c r="C1398" s="861" t="s">
        <v>362</v>
      </c>
      <c r="D1398" s="861" t="s">
        <v>1000</v>
      </c>
      <c r="E1398" s="899" t="s">
        <v>358</v>
      </c>
      <c r="F1398" s="2414" t="s">
        <v>306</v>
      </c>
      <c r="G1398" s="2415"/>
      <c r="H1398" s="657"/>
      <c r="I1398" s="657"/>
      <c r="J1398" s="657"/>
      <c r="K1398" s="657"/>
      <c r="L1398" s="657"/>
      <c r="M1398" s="657"/>
    </row>
    <row r="1399" spans="1:13">
      <c r="A1399" s="770" t="s">
        <v>1036</v>
      </c>
      <c r="B1399" s="884">
        <f>((73.76+38.25)*2)</f>
        <v>224.02</v>
      </c>
      <c r="C1399" s="705">
        <v>2.5</v>
      </c>
      <c r="D1399" s="900"/>
      <c r="E1399" s="901">
        <f>B1399*C1399</f>
        <v>560.05000000000007</v>
      </c>
      <c r="F1399" s="2416"/>
      <c r="G1399" s="2156"/>
      <c r="H1399" s="657"/>
      <c r="I1399" s="657"/>
      <c r="J1399" s="657"/>
      <c r="K1399" s="657"/>
      <c r="L1399" s="657"/>
      <c r="M1399" s="657"/>
    </row>
    <row r="1400" spans="1:13">
      <c r="A1400" s="770" t="s">
        <v>1037</v>
      </c>
      <c r="B1400" s="884">
        <f>(73.76+38.25)</f>
        <v>112.01</v>
      </c>
      <c r="C1400" s="705">
        <v>0.15</v>
      </c>
      <c r="D1400" s="900"/>
      <c r="E1400" s="901">
        <f>B1400*C1400</f>
        <v>16.801500000000001</v>
      </c>
      <c r="F1400" s="669"/>
      <c r="G1400" s="670"/>
      <c r="H1400" s="657"/>
      <c r="I1400" s="657"/>
      <c r="J1400" s="657"/>
      <c r="K1400" s="657"/>
      <c r="L1400" s="657"/>
      <c r="M1400" s="657"/>
    </row>
    <row r="1401" spans="1:13" ht="15.75" thickBot="1">
      <c r="A1401" s="2308"/>
      <c r="B1401" s="2271"/>
      <c r="C1401" s="2272"/>
      <c r="D1401" s="844" t="s">
        <v>340</v>
      </c>
      <c r="E1401" s="902">
        <f>SUM(E1399:E1400)</f>
        <v>576.8515000000001</v>
      </c>
      <c r="F1401" s="903"/>
      <c r="G1401" s="904"/>
      <c r="H1401" s="657"/>
      <c r="I1401" s="657"/>
      <c r="J1401" s="657"/>
      <c r="K1401" s="657"/>
      <c r="L1401" s="657"/>
      <c r="M1401" s="657"/>
    </row>
    <row r="1402" spans="1:13" ht="15.75" thickBot="1">
      <c r="A1402" s="658"/>
      <c r="B1402" s="659"/>
      <c r="C1402" s="659"/>
      <c r="D1402" s="659"/>
      <c r="E1402" s="659"/>
      <c r="F1402" s="659"/>
      <c r="G1402" s="660"/>
      <c r="H1402" s="657"/>
      <c r="I1402" s="657"/>
      <c r="J1402" s="657"/>
      <c r="K1402" s="657"/>
      <c r="L1402" s="657"/>
      <c r="M1402" s="657"/>
    </row>
    <row r="1403" spans="1:13" ht="15.75" thickBot="1">
      <c r="A1403" s="671" t="s">
        <v>1040</v>
      </c>
      <c r="B1403" s="2180" t="s">
        <v>1042</v>
      </c>
      <c r="C1403" s="2181"/>
      <c r="D1403" s="2181"/>
      <c r="E1403" s="2181"/>
      <c r="F1403" s="2181"/>
      <c r="G1403" s="2182"/>
      <c r="H1403" s="657"/>
      <c r="I1403" s="657"/>
      <c r="J1403" s="657"/>
      <c r="K1403" s="657"/>
      <c r="L1403" s="657"/>
      <c r="M1403" s="657"/>
    </row>
    <row r="1404" spans="1:13">
      <c r="A1404" s="2192" t="s">
        <v>303</v>
      </c>
      <c r="B1404" s="2193"/>
      <c r="C1404" s="2193"/>
      <c r="D1404" s="2193"/>
      <c r="E1404" s="2193"/>
      <c r="F1404" s="2193"/>
      <c r="G1404" s="2194"/>
      <c r="H1404" s="657"/>
      <c r="I1404" s="657"/>
      <c r="J1404" s="657"/>
      <c r="K1404" s="657"/>
      <c r="L1404" s="657"/>
      <c r="M1404" s="657"/>
    </row>
    <row r="1405" spans="1:13">
      <c r="A1405" s="2399" t="s">
        <v>972</v>
      </c>
      <c r="B1405" s="2400"/>
      <c r="C1405" s="2400"/>
      <c r="D1405" s="2400"/>
      <c r="E1405" s="2400"/>
      <c r="F1405" s="2400"/>
      <c r="G1405" s="2401"/>
      <c r="H1405" s="657"/>
      <c r="I1405" s="657"/>
      <c r="J1405" s="657"/>
      <c r="K1405" s="657"/>
      <c r="L1405" s="657"/>
      <c r="M1405" s="657"/>
    </row>
    <row r="1406" spans="1:13">
      <c r="A1406" s="860" t="s">
        <v>631</v>
      </c>
      <c r="B1406" s="861" t="s">
        <v>999</v>
      </c>
      <c r="C1406" s="861" t="s">
        <v>362</v>
      </c>
      <c r="D1406" s="861" t="s">
        <v>1000</v>
      </c>
      <c r="E1406" s="899" t="s">
        <v>358</v>
      </c>
      <c r="F1406" s="2414" t="s">
        <v>306</v>
      </c>
      <c r="G1406" s="2415"/>
      <c r="H1406" s="657"/>
      <c r="I1406" s="657"/>
      <c r="J1406" s="657"/>
      <c r="K1406" s="657"/>
      <c r="L1406" s="657"/>
      <c r="M1406" s="657"/>
    </row>
    <row r="1407" spans="1:13">
      <c r="A1407" s="770" t="s">
        <v>1036</v>
      </c>
      <c r="B1407" s="884">
        <f>((73.76+38.25)*2)</f>
        <v>224.02</v>
      </c>
      <c r="C1407" s="705">
        <v>2.5</v>
      </c>
      <c r="D1407" s="900"/>
      <c r="E1407" s="901">
        <f>B1407*C1407</f>
        <v>560.05000000000007</v>
      </c>
      <c r="F1407" s="2416"/>
      <c r="G1407" s="2156"/>
      <c r="H1407" s="657"/>
      <c r="I1407" s="657"/>
      <c r="J1407" s="657"/>
      <c r="K1407" s="657"/>
      <c r="L1407" s="657"/>
      <c r="M1407" s="657"/>
    </row>
    <row r="1408" spans="1:13">
      <c r="A1408" s="770" t="s">
        <v>1037</v>
      </c>
      <c r="B1408" s="884">
        <f>(73.76+38.25)</f>
        <v>112.01</v>
      </c>
      <c r="C1408" s="705">
        <v>0.15</v>
      </c>
      <c r="D1408" s="900"/>
      <c r="E1408" s="901">
        <f>B1408*C1408</f>
        <v>16.801500000000001</v>
      </c>
      <c r="F1408" s="669"/>
      <c r="G1408" s="670"/>
      <c r="H1408" s="657"/>
      <c r="I1408" s="657"/>
      <c r="J1408" s="657"/>
      <c r="K1408" s="657"/>
      <c r="L1408" s="657"/>
      <c r="M1408" s="657"/>
    </row>
    <row r="1409" spans="1:13" ht="15.75" thickBot="1">
      <c r="A1409" s="2308"/>
      <c r="B1409" s="2271"/>
      <c r="C1409" s="2272"/>
      <c r="D1409" s="844" t="s">
        <v>340</v>
      </c>
      <c r="E1409" s="902">
        <f>SUM(E1407:E1408)</f>
        <v>576.8515000000001</v>
      </c>
      <c r="F1409" s="903"/>
      <c r="G1409" s="904"/>
      <c r="H1409" s="657"/>
      <c r="I1409" s="657"/>
      <c r="J1409" s="657"/>
      <c r="K1409" s="657"/>
      <c r="L1409" s="657"/>
      <c r="M1409" s="657"/>
    </row>
    <row r="1410" spans="1:13" ht="15.75" thickBot="1">
      <c r="A1410" s="658"/>
      <c r="B1410" s="659"/>
      <c r="C1410" s="659"/>
      <c r="D1410" s="659"/>
      <c r="E1410" s="659"/>
      <c r="F1410" s="659"/>
      <c r="G1410" s="660"/>
      <c r="H1410" s="657"/>
      <c r="I1410" s="657"/>
      <c r="J1410" s="657"/>
      <c r="K1410" s="657"/>
      <c r="L1410" s="657"/>
      <c r="M1410" s="657"/>
    </row>
    <row r="1411" spans="1:13" ht="15.75" thickBot="1">
      <c r="A1411" s="671" t="s">
        <v>1043</v>
      </c>
      <c r="B1411" s="2180" t="s">
        <v>1044</v>
      </c>
      <c r="C1411" s="2181"/>
      <c r="D1411" s="2181"/>
      <c r="E1411" s="2181"/>
      <c r="F1411" s="2181"/>
      <c r="G1411" s="2182"/>
      <c r="H1411" s="657"/>
      <c r="I1411" s="657"/>
      <c r="J1411" s="657"/>
      <c r="K1411" s="657"/>
      <c r="L1411" s="657"/>
      <c r="M1411" s="657"/>
    </row>
    <row r="1412" spans="1:13">
      <c r="A1412" s="2192" t="s">
        <v>303</v>
      </c>
      <c r="B1412" s="2193"/>
      <c r="C1412" s="2193"/>
      <c r="D1412" s="2193"/>
      <c r="E1412" s="2193"/>
      <c r="F1412" s="2193"/>
      <c r="G1412" s="2194"/>
      <c r="H1412" s="657"/>
      <c r="I1412" s="657"/>
      <c r="J1412" s="657"/>
      <c r="K1412" s="657"/>
      <c r="L1412" s="657"/>
      <c r="M1412" s="657"/>
    </row>
    <row r="1413" spans="1:13">
      <c r="A1413" s="2241" t="s">
        <v>1045</v>
      </c>
      <c r="B1413" s="2228"/>
      <c r="C1413" s="2228"/>
      <c r="D1413" s="2228"/>
      <c r="E1413" s="2228"/>
      <c r="F1413" s="2228"/>
      <c r="G1413" s="2229"/>
      <c r="H1413" s="657"/>
      <c r="I1413" s="657"/>
      <c r="J1413" s="657"/>
      <c r="K1413" s="657"/>
      <c r="L1413" s="657"/>
      <c r="M1413" s="657"/>
    </row>
    <row r="1414" spans="1:13">
      <c r="A1414" s="860" t="s">
        <v>631</v>
      </c>
      <c r="B1414" s="861" t="s">
        <v>999</v>
      </c>
      <c r="C1414" s="861" t="s">
        <v>362</v>
      </c>
      <c r="D1414" s="861" t="s">
        <v>1000</v>
      </c>
      <c r="E1414" s="899" t="s">
        <v>358</v>
      </c>
      <c r="F1414" s="2414" t="s">
        <v>306</v>
      </c>
      <c r="G1414" s="2415"/>
      <c r="H1414" s="657"/>
      <c r="I1414" s="657"/>
      <c r="J1414" s="657"/>
      <c r="K1414" s="657"/>
      <c r="L1414" s="657"/>
      <c r="M1414" s="657"/>
    </row>
    <row r="1415" spans="1:13">
      <c r="A1415" s="770" t="s">
        <v>1046</v>
      </c>
      <c r="B1415" s="884">
        <f>4.23+5.33</f>
        <v>9.56</v>
      </c>
      <c r="C1415" s="705">
        <v>3.02</v>
      </c>
      <c r="D1415" s="900"/>
      <c r="E1415" s="901">
        <f>B1415*C1415</f>
        <v>28.871200000000002</v>
      </c>
      <c r="F1415" s="2393" t="s">
        <v>1047</v>
      </c>
      <c r="G1415" s="2394"/>
      <c r="H1415" s="657"/>
      <c r="I1415" s="657"/>
      <c r="J1415" s="657"/>
      <c r="K1415" s="657"/>
      <c r="L1415" s="657"/>
      <c r="M1415" s="657"/>
    </row>
    <row r="1416" spans="1:13" ht="15.75" thickBot="1">
      <c r="A1416" s="2308"/>
      <c r="B1416" s="2271"/>
      <c r="C1416" s="2272"/>
      <c r="D1416" s="844" t="s">
        <v>340</v>
      </c>
      <c r="E1416" s="902">
        <f>SUM(E1415:E1415)</f>
        <v>28.871200000000002</v>
      </c>
      <c r="F1416" s="2432"/>
      <c r="G1416" s="2433"/>
      <c r="H1416" s="657"/>
      <c r="I1416" s="657"/>
      <c r="J1416" s="657"/>
      <c r="K1416" s="657"/>
      <c r="L1416" s="657"/>
      <c r="M1416" s="657"/>
    </row>
    <row r="1417" spans="1:13" ht="15.75" thickBot="1">
      <c r="A1417" s="658"/>
      <c r="B1417" s="659"/>
      <c r="C1417" s="659"/>
      <c r="D1417" s="659"/>
      <c r="E1417" s="659"/>
      <c r="F1417" s="659"/>
      <c r="G1417" s="660"/>
      <c r="H1417" s="657"/>
      <c r="I1417" s="657"/>
      <c r="J1417" s="657"/>
      <c r="K1417" s="657"/>
      <c r="L1417" s="657"/>
      <c r="M1417" s="657"/>
    </row>
    <row r="1418" spans="1:13" ht="15.75" thickBot="1">
      <c r="A1418" s="671" t="s">
        <v>1048</v>
      </c>
      <c r="B1418" s="2180" t="s">
        <v>1049</v>
      </c>
      <c r="C1418" s="2181"/>
      <c r="D1418" s="2181"/>
      <c r="E1418" s="2181"/>
      <c r="F1418" s="2181"/>
      <c r="G1418" s="2182"/>
      <c r="H1418" s="657"/>
      <c r="I1418" s="657"/>
      <c r="J1418" s="657"/>
      <c r="K1418" s="657"/>
      <c r="L1418" s="657"/>
      <c r="M1418" s="657"/>
    </row>
    <row r="1419" spans="1:13">
      <c r="A1419" s="2192" t="s">
        <v>303</v>
      </c>
      <c r="B1419" s="2193"/>
      <c r="C1419" s="2193"/>
      <c r="D1419" s="2193"/>
      <c r="E1419" s="2193"/>
      <c r="F1419" s="2193"/>
      <c r="G1419" s="2194"/>
      <c r="H1419" s="657"/>
      <c r="I1419" s="657"/>
      <c r="J1419" s="657"/>
      <c r="K1419" s="657"/>
      <c r="L1419" s="657"/>
      <c r="M1419" s="657"/>
    </row>
    <row r="1420" spans="1:13">
      <c r="A1420" s="2399" t="s">
        <v>972</v>
      </c>
      <c r="B1420" s="2400"/>
      <c r="C1420" s="2400"/>
      <c r="D1420" s="2400"/>
      <c r="E1420" s="2400"/>
      <c r="F1420" s="2400"/>
      <c r="G1420" s="2401"/>
      <c r="H1420" s="657"/>
      <c r="I1420" s="657"/>
      <c r="J1420" s="657"/>
      <c r="K1420" s="657"/>
      <c r="L1420" s="657"/>
      <c r="M1420" s="657"/>
    </row>
    <row r="1421" spans="1:13">
      <c r="A1421" s="860" t="s">
        <v>1050</v>
      </c>
      <c r="B1421" s="861" t="s">
        <v>1028</v>
      </c>
      <c r="C1421" s="2395" t="s">
        <v>306</v>
      </c>
      <c r="D1421" s="2396"/>
      <c r="E1421" s="2396"/>
      <c r="F1421" s="2396"/>
      <c r="G1421" s="2398"/>
      <c r="H1421" s="657"/>
      <c r="I1421" s="657"/>
      <c r="J1421" s="657"/>
      <c r="K1421" s="657"/>
      <c r="L1421" s="657"/>
      <c r="M1421" s="657"/>
    </row>
    <row r="1422" spans="1:13">
      <c r="A1422" s="912">
        <v>40</v>
      </c>
      <c r="B1422" s="913">
        <v>4</v>
      </c>
      <c r="C1422" s="2426"/>
      <c r="D1422" s="2427"/>
      <c r="E1422" s="2427"/>
      <c r="F1422" s="2427"/>
      <c r="G1422" s="2428"/>
      <c r="H1422" s="657"/>
      <c r="I1422" s="657"/>
      <c r="J1422" s="657"/>
      <c r="K1422" s="657"/>
      <c r="L1422" s="657"/>
      <c r="M1422" s="657"/>
    </row>
    <row r="1423" spans="1:13">
      <c r="A1423" s="770">
        <v>20</v>
      </c>
      <c r="B1423" s="914">
        <v>46</v>
      </c>
      <c r="C1423" s="2429"/>
      <c r="D1423" s="2430"/>
      <c r="E1423" s="2430"/>
      <c r="F1423" s="2430"/>
      <c r="G1423" s="2431"/>
      <c r="H1423" s="657"/>
      <c r="I1423" s="657"/>
      <c r="J1423" s="657"/>
      <c r="K1423" s="657"/>
      <c r="L1423" s="657"/>
      <c r="M1423" s="657"/>
    </row>
    <row r="1424" spans="1:13" ht="15.75" thickBot="1">
      <c r="A1424" s="915"/>
      <c r="B1424" s="849"/>
      <c r="C1424" s="916"/>
      <c r="D1424" s="916"/>
      <c r="E1424" s="916"/>
      <c r="F1424" s="916"/>
      <c r="G1424" s="917"/>
      <c r="H1424" s="657"/>
      <c r="I1424" s="657"/>
      <c r="J1424" s="657"/>
      <c r="K1424" s="657"/>
      <c r="L1424" s="657"/>
      <c r="M1424" s="657"/>
    </row>
    <row r="1425" spans="1:13" ht="15.75" thickBot="1">
      <c r="A1425" s="658"/>
      <c r="B1425" s="659"/>
      <c r="C1425" s="659"/>
      <c r="D1425" s="659"/>
      <c r="E1425" s="659"/>
      <c r="F1425" s="659"/>
      <c r="G1425" s="660"/>
      <c r="H1425" s="657"/>
      <c r="I1425" s="657"/>
      <c r="J1425" s="657"/>
      <c r="K1425" s="657"/>
      <c r="L1425" s="657"/>
      <c r="M1425" s="657"/>
    </row>
    <row r="1426" spans="1:13" ht="15.75" thickBot="1">
      <c r="A1426" s="671">
        <v>22</v>
      </c>
      <c r="B1426" s="2180" t="s">
        <v>396</v>
      </c>
      <c r="C1426" s="2181"/>
      <c r="D1426" s="2181"/>
      <c r="E1426" s="2181"/>
      <c r="F1426" s="2181"/>
      <c r="G1426" s="2182"/>
      <c r="H1426" s="657"/>
      <c r="I1426" s="657"/>
      <c r="J1426" s="657"/>
      <c r="K1426" s="657"/>
      <c r="L1426" s="657"/>
      <c r="M1426" s="657"/>
    </row>
    <row r="1427" spans="1:13" ht="15.75" thickBot="1">
      <c r="A1427" s="671" t="s">
        <v>1051</v>
      </c>
      <c r="B1427" s="918" t="s">
        <v>1052</v>
      </c>
      <c r="C1427" s="919"/>
      <c r="D1427" s="919"/>
      <c r="E1427" s="919"/>
      <c r="F1427" s="919"/>
      <c r="G1427" s="920"/>
      <c r="H1427" s="657"/>
      <c r="I1427" s="657"/>
      <c r="J1427" s="657"/>
      <c r="K1427" s="657"/>
      <c r="L1427" s="657"/>
      <c r="M1427" s="657"/>
    </row>
    <row r="1428" spans="1:13">
      <c r="A1428" s="2213" t="s">
        <v>303</v>
      </c>
      <c r="B1428" s="2214"/>
      <c r="C1428" s="2214"/>
      <c r="D1428" s="2214"/>
      <c r="E1428" s="2214"/>
      <c r="F1428" s="2214"/>
      <c r="G1428" s="2215"/>
      <c r="H1428" s="657"/>
      <c r="I1428" s="657"/>
      <c r="J1428" s="657"/>
      <c r="K1428" s="657"/>
      <c r="L1428" s="657"/>
      <c r="M1428" s="657"/>
    </row>
    <row r="1429" spans="1:13">
      <c r="A1429" s="2241" t="s">
        <v>397</v>
      </c>
      <c r="B1429" s="2228"/>
      <c r="C1429" s="2228"/>
      <c r="D1429" s="2228"/>
      <c r="E1429" s="2228"/>
      <c r="F1429" s="2228"/>
      <c r="G1429" s="2229"/>
      <c r="H1429" s="657"/>
      <c r="I1429" s="657"/>
      <c r="J1429" s="657"/>
      <c r="K1429" s="657"/>
      <c r="L1429" s="657"/>
      <c r="M1429" s="657"/>
    </row>
    <row r="1430" spans="1:13">
      <c r="A1430" s="2273" t="s">
        <v>391</v>
      </c>
      <c r="B1430" s="2242"/>
      <c r="C1430" s="687" t="s">
        <v>305</v>
      </c>
      <c r="D1430" s="687" t="s">
        <v>305</v>
      </c>
      <c r="E1430" s="2189" t="s">
        <v>306</v>
      </c>
      <c r="F1430" s="2190"/>
      <c r="G1430" s="2191"/>
      <c r="H1430" s="657"/>
      <c r="I1430" s="657"/>
      <c r="J1430" s="657"/>
      <c r="K1430" s="657"/>
      <c r="L1430" s="657"/>
      <c r="M1430" s="657"/>
    </row>
    <row r="1431" spans="1:13" ht="26.25" customHeight="1">
      <c r="A1431" s="2424" t="s">
        <v>2155</v>
      </c>
      <c r="B1431" s="2425"/>
      <c r="C1431" s="1045" t="s">
        <v>833</v>
      </c>
      <c r="D1431" s="723">
        <v>246.05</v>
      </c>
      <c r="E1431" s="2162"/>
      <c r="F1431" s="2350"/>
      <c r="G1431" s="2351"/>
      <c r="H1431" s="657"/>
      <c r="I1431" s="657"/>
      <c r="J1431" s="657"/>
      <c r="K1431" s="657"/>
      <c r="L1431" s="657"/>
      <c r="M1431" s="657"/>
    </row>
    <row r="1432" spans="1:13" ht="26.25" customHeight="1">
      <c r="A1432" s="2424" t="s">
        <v>2156</v>
      </c>
      <c r="B1432" s="2425"/>
      <c r="C1432" s="1045" t="s">
        <v>835</v>
      </c>
      <c r="D1432" s="723">
        <v>98.67</v>
      </c>
      <c r="E1432" s="2162"/>
      <c r="F1432" s="2350"/>
      <c r="G1432" s="2351"/>
      <c r="H1432" s="657"/>
      <c r="I1432" s="657"/>
      <c r="J1432" s="657"/>
      <c r="K1432" s="657"/>
      <c r="L1432" s="657"/>
      <c r="M1432" s="657"/>
    </row>
    <row r="1433" spans="1:13" ht="15.75" thickBot="1">
      <c r="A1433" s="2308" t="s">
        <v>387</v>
      </c>
      <c r="B1433" s="2271"/>
      <c r="C1433" s="2272"/>
      <c r="D1433" s="681">
        <f>SUM(D1431:D1432)</f>
        <v>344.72</v>
      </c>
      <c r="E1433" s="2421"/>
      <c r="F1433" s="2422"/>
      <c r="G1433" s="2423"/>
      <c r="H1433" s="657"/>
      <c r="I1433" s="657"/>
      <c r="J1433" s="657"/>
      <c r="K1433" s="657"/>
      <c r="L1433" s="657"/>
      <c r="M1433" s="657"/>
    </row>
    <row r="1434" spans="1:13" ht="15.75" thickBot="1">
      <c r="A1434" s="921"/>
      <c r="B1434" s="921"/>
      <c r="C1434" s="921"/>
      <c r="D1434" s="921"/>
      <c r="E1434" s="921"/>
      <c r="F1434" s="921"/>
      <c r="G1434" s="921"/>
      <c r="H1434" s="657"/>
      <c r="I1434" s="657"/>
      <c r="J1434" s="657"/>
      <c r="K1434" s="657"/>
      <c r="L1434" s="657"/>
      <c r="M1434" s="657"/>
    </row>
    <row r="1435" spans="1:13" ht="15.75" thickBot="1">
      <c r="A1435" s="671" t="s">
        <v>1053</v>
      </c>
      <c r="B1435" s="2180" t="s">
        <v>1054</v>
      </c>
      <c r="C1435" s="2181"/>
      <c r="D1435" s="2181"/>
      <c r="E1435" s="2181"/>
      <c r="F1435" s="2181"/>
      <c r="G1435" s="2182"/>
      <c r="H1435" s="657"/>
      <c r="I1435" s="657"/>
      <c r="J1435" s="657"/>
      <c r="K1435" s="657"/>
      <c r="L1435" s="657"/>
      <c r="M1435" s="657"/>
    </row>
    <row r="1436" spans="1:13">
      <c r="A1436" s="2213" t="s">
        <v>303</v>
      </c>
      <c r="B1436" s="2214"/>
      <c r="C1436" s="2214"/>
      <c r="D1436" s="2214"/>
      <c r="E1436" s="2214"/>
      <c r="F1436" s="2214"/>
      <c r="G1436" s="2215"/>
      <c r="H1436" s="657"/>
      <c r="I1436" s="657"/>
      <c r="J1436" s="657"/>
      <c r="K1436" s="657"/>
      <c r="L1436" s="657"/>
      <c r="M1436" s="657"/>
    </row>
    <row r="1437" spans="1:13">
      <c r="A1437" s="2241" t="s">
        <v>397</v>
      </c>
      <c r="B1437" s="2228"/>
      <c r="C1437" s="2228"/>
      <c r="D1437" s="2228"/>
      <c r="E1437" s="2228"/>
      <c r="F1437" s="2228"/>
      <c r="G1437" s="2229"/>
      <c r="H1437" s="657"/>
      <c r="I1437" s="657"/>
      <c r="J1437" s="657"/>
      <c r="K1437" s="657"/>
      <c r="L1437" s="657"/>
      <c r="M1437" s="657"/>
    </row>
    <row r="1438" spans="1:13">
      <c r="A1438" s="2273" t="s">
        <v>391</v>
      </c>
      <c r="B1438" s="2242"/>
      <c r="C1438" s="687" t="s">
        <v>305</v>
      </c>
      <c r="D1438" s="687" t="s">
        <v>305</v>
      </c>
      <c r="E1438" s="2189" t="s">
        <v>306</v>
      </c>
      <c r="F1438" s="2190"/>
      <c r="G1438" s="2191"/>
      <c r="H1438" s="657"/>
      <c r="I1438" s="657"/>
      <c r="J1438" s="657"/>
      <c r="K1438" s="657"/>
      <c r="L1438" s="657"/>
      <c r="M1438" s="657"/>
    </row>
    <row r="1439" spans="1:13" ht="24">
      <c r="A1439" s="2346" t="s">
        <v>1055</v>
      </c>
      <c r="B1439" s="2163"/>
      <c r="C1439" s="747" t="s">
        <v>2150</v>
      </c>
      <c r="D1439" s="723">
        <f>31.95+13.7+66.73+4.46</f>
        <v>116.83999999999999</v>
      </c>
      <c r="E1439" s="2282"/>
      <c r="F1439" s="2283"/>
      <c r="G1439" s="2284"/>
      <c r="H1439" s="657"/>
      <c r="I1439" s="657"/>
      <c r="J1439" s="657"/>
      <c r="K1439" s="657"/>
      <c r="L1439" s="657"/>
      <c r="M1439" s="657"/>
    </row>
    <row r="1440" spans="1:13">
      <c r="A1440" s="2346" t="s">
        <v>1056</v>
      </c>
      <c r="B1440" s="2163"/>
      <c r="C1440" s="747" t="s">
        <v>845</v>
      </c>
      <c r="D1440" s="723">
        <f>68.14+108.42</f>
        <v>176.56</v>
      </c>
      <c r="E1440" s="2282"/>
      <c r="F1440" s="2283"/>
      <c r="G1440" s="2284"/>
      <c r="H1440" s="657"/>
      <c r="I1440" s="1041"/>
      <c r="J1440" s="657"/>
      <c r="K1440" s="657"/>
      <c r="L1440" s="657"/>
      <c r="M1440" s="657"/>
    </row>
    <row r="1441" spans="1:13" ht="15.75" thickBot="1">
      <c r="A1441" s="2308" t="s">
        <v>387</v>
      </c>
      <c r="B1441" s="2271"/>
      <c r="C1441" s="2272"/>
      <c r="D1441" s="681">
        <f>SUM(D1439:D1440)</f>
        <v>293.39999999999998</v>
      </c>
      <c r="E1441" s="2421"/>
      <c r="F1441" s="2422"/>
      <c r="G1441" s="2423"/>
      <c r="H1441" s="657"/>
      <c r="I1441" s="657"/>
      <c r="J1441" s="657"/>
      <c r="K1441" s="657"/>
      <c r="L1441" s="657"/>
      <c r="M1441" s="657"/>
    </row>
    <row r="1442" spans="1:13" ht="6.75" customHeight="1" thickBot="1"/>
    <row r="1443" spans="1:13" ht="40.5" customHeight="1" thickBot="1">
      <c r="A1443" s="2434" t="s">
        <v>139</v>
      </c>
      <c r="B1443" s="2435"/>
      <c r="C1443" s="103"/>
      <c r="D1443" s="2436" t="s">
        <v>2098</v>
      </c>
      <c r="E1443" s="2436"/>
      <c r="F1443" s="2436"/>
      <c r="G1443" s="2437"/>
    </row>
    <row r="1444" spans="1:13">
      <c r="E1444" t="s">
        <v>2097</v>
      </c>
    </row>
  </sheetData>
  <mergeCells count="1020">
    <mergeCell ref="A1443:B1443"/>
    <mergeCell ref="D1443:G1443"/>
    <mergeCell ref="A1439:B1439"/>
    <mergeCell ref="E1439:G1439"/>
    <mergeCell ref="A1440:B1440"/>
    <mergeCell ref="E1440:G1440"/>
    <mergeCell ref="A1441:C1441"/>
    <mergeCell ref="E1441:G1441"/>
    <mergeCell ref="A1433:C1433"/>
    <mergeCell ref="E1433:G1433"/>
    <mergeCell ref="B1435:G1435"/>
    <mergeCell ref="A1436:G1436"/>
    <mergeCell ref="A1437:G1437"/>
    <mergeCell ref="A1438:B1438"/>
    <mergeCell ref="E1438:G1438"/>
    <mergeCell ref="A1432:B1432"/>
    <mergeCell ref="E1432:G1432"/>
    <mergeCell ref="A1428:G1428"/>
    <mergeCell ref="A1429:G1429"/>
    <mergeCell ref="A1430:B1430"/>
    <mergeCell ref="E1430:G1430"/>
    <mergeCell ref="A1431:B1431"/>
    <mergeCell ref="E1431:G1431"/>
    <mergeCell ref="B1418:G1418"/>
    <mergeCell ref="A1419:G1419"/>
    <mergeCell ref="A1420:G1420"/>
    <mergeCell ref="C1421:G1421"/>
    <mergeCell ref="C1422:G1423"/>
    <mergeCell ref="B1426:G1426"/>
    <mergeCell ref="B1411:G1411"/>
    <mergeCell ref="A1412:G1412"/>
    <mergeCell ref="A1413:G1413"/>
    <mergeCell ref="F1414:G1414"/>
    <mergeCell ref="F1415:G1416"/>
    <mergeCell ref="A1416:C1416"/>
    <mergeCell ref="B1403:G1403"/>
    <mergeCell ref="A1404:G1404"/>
    <mergeCell ref="A1405:G1405"/>
    <mergeCell ref="F1406:G1406"/>
    <mergeCell ref="F1407:G1407"/>
    <mergeCell ref="A1409:C1409"/>
    <mergeCell ref="B1395:G1395"/>
    <mergeCell ref="A1396:G1396"/>
    <mergeCell ref="A1397:G1397"/>
    <mergeCell ref="F1398:G1398"/>
    <mergeCell ref="F1399:G1399"/>
    <mergeCell ref="A1401:C1401"/>
    <mergeCell ref="B1387:G1387"/>
    <mergeCell ref="A1388:G1388"/>
    <mergeCell ref="A1389:G1389"/>
    <mergeCell ref="F1390:G1390"/>
    <mergeCell ref="F1391:G1391"/>
    <mergeCell ref="A1393:C1393"/>
    <mergeCell ref="B1379:G1379"/>
    <mergeCell ref="A1380:G1380"/>
    <mergeCell ref="A1381:G1381"/>
    <mergeCell ref="F1382:G1382"/>
    <mergeCell ref="F1383:G1383"/>
    <mergeCell ref="A1385:C1385"/>
    <mergeCell ref="B1372:G1372"/>
    <mergeCell ref="A1373:G1373"/>
    <mergeCell ref="A1374:G1374"/>
    <mergeCell ref="F1375:G1375"/>
    <mergeCell ref="F1376:G1376"/>
    <mergeCell ref="A1377:C1377"/>
    <mergeCell ref="B1364:G1364"/>
    <mergeCell ref="A1365:G1365"/>
    <mergeCell ref="A1366:G1366"/>
    <mergeCell ref="E1367:G1367"/>
    <mergeCell ref="E1368:G1369"/>
    <mergeCell ref="E1370:G1370"/>
    <mergeCell ref="A1359:G1359"/>
    <mergeCell ref="A1360:B1360"/>
    <mergeCell ref="E1360:G1360"/>
    <mergeCell ref="A1361:B1361"/>
    <mergeCell ref="E1361:G1361"/>
    <mergeCell ref="A1362:C1362"/>
    <mergeCell ref="E1362:G1362"/>
    <mergeCell ref="A1354:B1354"/>
    <mergeCell ref="E1354:G1354"/>
    <mergeCell ref="A1355:C1355"/>
    <mergeCell ref="E1355:G1355"/>
    <mergeCell ref="B1357:G1357"/>
    <mergeCell ref="A1358:G1358"/>
    <mergeCell ref="A1348:C1348"/>
    <mergeCell ref="E1348:G1348"/>
    <mergeCell ref="B1350:G1350"/>
    <mergeCell ref="A1351:G1351"/>
    <mergeCell ref="A1352:G1352"/>
    <mergeCell ref="A1353:B1353"/>
    <mergeCell ref="E1353:G1353"/>
    <mergeCell ref="A1344:G1344"/>
    <mergeCell ref="A1345:G1345"/>
    <mergeCell ref="A1346:B1346"/>
    <mergeCell ref="E1346:G1346"/>
    <mergeCell ref="A1347:B1347"/>
    <mergeCell ref="E1347:G1347"/>
    <mergeCell ref="A1337:G1337"/>
    <mergeCell ref="A1338:G1338"/>
    <mergeCell ref="F1339:G1339"/>
    <mergeCell ref="F1340:G1340"/>
    <mergeCell ref="A1341:C1341"/>
    <mergeCell ref="B1343:G1343"/>
    <mergeCell ref="A1330:G1330"/>
    <mergeCell ref="F1331:G1331"/>
    <mergeCell ref="F1332:G1332"/>
    <mergeCell ref="F1333:G1333"/>
    <mergeCell ref="A1334:C1334"/>
    <mergeCell ref="B1336:G1336"/>
    <mergeCell ref="F1323:G1323"/>
    <mergeCell ref="F1324:G1324"/>
    <mergeCell ref="F1325:G1325"/>
    <mergeCell ref="A1326:C1326"/>
    <mergeCell ref="B1328:G1328"/>
    <mergeCell ref="A1329:G1329"/>
    <mergeCell ref="F1316:G1316"/>
    <mergeCell ref="F1317:G1317"/>
    <mergeCell ref="A1318:C1318"/>
    <mergeCell ref="B1320:G1320"/>
    <mergeCell ref="A1321:G1321"/>
    <mergeCell ref="A1322:G1322"/>
    <mergeCell ref="F1309:G1309"/>
    <mergeCell ref="A1310:C1310"/>
    <mergeCell ref="B1312:G1312"/>
    <mergeCell ref="A1313:G1313"/>
    <mergeCell ref="A1314:G1314"/>
    <mergeCell ref="F1315:G1315"/>
    <mergeCell ref="A1302:C1302"/>
    <mergeCell ref="B1304:G1304"/>
    <mergeCell ref="A1305:G1305"/>
    <mergeCell ref="A1306:G1306"/>
    <mergeCell ref="F1307:G1307"/>
    <mergeCell ref="F1308:G1308"/>
    <mergeCell ref="B1296:G1296"/>
    <mergeCell ref="A1297:G1297"/>
    <mergeCell ref="A1298:G1298"/>
    <mergeCell ref="F1299:G1299"/>
    <mergeCell ref="F1300:G1300"/>
    <mergeCell ref="F1301:G1301"/>
    <mergeCell ref="B1289:G1289"/>
    <mergeCell ref="A1290:G1290"/>
    <mergeCell ref="A1291:G1291"/>
    <mergeCell ref="F1292:G1292"/>
    <mergeCell ref="F1293:G1293"/>
    <mergeCell ref="A1294:C1294"/>
    <mergeCell ref="B1284:C1284"/>
    <mergeCell ref="D1284:G1284"/>
    <mergeCell ref="B1285:C1285"/>
    <mergeCell ref="D1285:G1285"/>
    <mergeCell ref="B1286:C1286"/>
    <mergeCell ref="A1288:G1288"/>
    <mergeCell ref="B1278:C1278"/>
    <mergeCell ref="D1278:G1278"/>
    <mergeCell ref="B1279:C1279"/>
    <mergeCell ref="B1281:G1281"/>
    <mergeCell ref="A1282:G1282"/>
    <mergeCell ref="A1283:G1283"/>
    <mergeCell ref="A1272:C1272"/>
    <mergeCell ref="E1272:G1272"/>
    <mergeCell ref="B1274:G1274"/>
    <mergeCell ref="A1275:G1275"/>
    <mergeCell ref="A1276:G1276"/>
    <mergeCell ref="B1277:C1277"/>
    <mergeCell ref="D1277:G1277"/>
    <mergeCell ref="A1266:G1266"/>
    <mergeCell ref="B1267:G1267"/>
    <mergeCell ref="A1268:G1268"/>
    <mergeCell ref="A1269:G1269"/>
    <mergeCell ref="E1270:G1270"/>
    <mergeCell ref="E1271:G1271"/>
    <mergeCell ref="B1260:G1260"/>
    <mergeCell ref="A1261:G1261"/>
    <mergeCell ref="A1262:G1262"/>
    <mergeCell ref="E1263:G1263"/>
    <mergeCell ref="E1264:G1264"/>
    <mergeCell ref="A1265:C1265"/>
    <mergeCell ref="E1265:G1265"/>
    <mergeCell ref="B1253:G1253"/>
    <mergeCell ref="A1254:G1254"/>
    <mergeCell ref="A1255:G1255"/>
    <mergeCell ref="E1256:G1256"/>
    <mergeCell ref="E1257:G1257"/>
    <mergeCell ref="A1258:C1258"/>
    <mergeCell ref="E1258:G1258"/>
    <mergeCell ref="A1248:G1248"/>
    <mergeCell ref="A1249:B1249"/>
    <mergeCell ref="E1249:G1249"/>
    <mergeCell ref="A1250:B1250"/>
    <mergeCell ref="E1250:G1250"/>
    <mergeCell ref="A1251:C1251"/>
    <mergeCell ref="E1251:G1251"/>
    <mergeCell ref="A1243:B1243"/>
    <mergeCell ref="E1243:G1243"/>
    <mergeCell ref="A1244:C1244"/>
    <mergeCell ref="E1244:G1244"/>
    <mergeCell ref="B1246:G1246"/>
    <mergeCell ref="A1247:G1247"/>
    <mergeCell ref="A1237:C1237"/>
    <mergeCell ref="E1237:G1237"/>
    <mergeCell ref="B1239:G1239"/>
    <mergeCell ref="A1240:G1240"/>
    <mergeCell ref="A1241:G1241"/>
    <mergeCell ref="A1242:B1242"/>
    <mergeCell ref="E1242:G1242"/>
    <mergeCell ref="A1232:G1232"/>
    <mergeCell ref="A1233:G1233"/>
    <mergeCell ref="A1234:B1234"/>
    <mergeCell ref="E1234:G1234"/>
    <mergeCell ref="A1235:B1235"/>
    <mergeCell ref="E1235:G1235"/>
    <mergeCell ref="B1222:G1222"/>
    <mergeCell ref="B1224:G1224"/>
    <mergeCell ref="B1226:G1226"/>
    <mergeCell ref="B1228:G1228"/>
    <mergeCell ref="B1230:G1230"/>
    <mergeCell ref="B1231:G1231"/>
    <mergeCell ref="A1213:G1213"/>
    <mergeCell ref="E1214:G1214"/>
    <mergeCell ref="C1215:G1215"/>
    <mergeCell ref="C1216:G1216"/>
    <mergeCell ref="B1218:G1218"/>
    <mergeCell ref="B1220:G1220"/>
    <mergeCell ref="C1203:F1203"/>
    <mergeCell ref="C1204:G1207"/>
    <mergeCell ref="C1208:G1208"/>
    <mergeCell ref="B1210:G1210"/>
    <mergeCell ref="B1211:G1211"/>
    <mergeCell ref="A1212:G1212"/>
    <mergeCell ref="A1189:G1189"/>
    <mergeCell ref="C1190:F1190"/>
    <mergeCell ref="C1198:G1198"/>
    <mergeCell ref="B1200:G1200"/>
    <mergeCell ref="A1201:G1201"/>
    <mergeCell ref="A1202:G1202"/>
    <mergeCell ref="A1174:G1174"/>
    <mergeCell ref="A1175:G1175"/>
    <mergeCell ref="C1176:F1176"/>
    <mergeCell ref="C1185:G1185"/>
    <mergeCell ref="B1187:G1187"/>
    <mergeCell ref="A1188:G1188"/>
    <mergeCell ref="B1160:G1160"/>
    <mergeCell ref="A1161:G1161"/>
    <mergeCell ref="A1162:G1162"/>
    <mergeCell ref="C1163:F1163"/>
    <mergeCell ref="C1171:G1171"/>
    <mergeCell ref="B1173:G1173"/>
    <mergeCell ref="B1152:G1152"/>
    <mergeCell ref="A1153:G1153"/>
    <mergeCell ref="A1154:G1154"/>
    <mergeCell ref="C1155:G1155"/>
    <mergeCell ref="C1156:G1157"/>
    <mergeCell ref="C1158:G1158"/>
    <mergeCell ref="B1144:G1144"/>
    <mergeCell ref="A1145:G1145"/>
    <mergeCell ref="A1146:G1146"/>
    <mergeCell ref="C1147:F1147"/>
    <mergeCell ref="C1148:G1149"/>
    <mergeCell ref="C1150:G1150"/>
    <mergeCell ref="B1136:G1136"/>
    <mergeCell ref="A1137:G1137"/>
    <mergeCell ref="A1138:G1138"/>
    <mergeCell ref="C1139:E1139"/>
    <mergeCell ref="C1140:G1141"/>
    <mergeCell ref="C1142:G1142"/>
    <mergeCell ref="A1129:G1129"/>
    <mergeCell ref="A1130:G1130"/>
    <mergeCell ref="C1131:G1131"/>
    <mergeCell ref="C1132:G1132"/>
    <mergeCell ref="C1133:G1133"/>
    <mergeCell ref="B1135:G1135"/>
    <mergeCell ref="B1120:G1120"/>
    <mergeCell ref="A1121:G1121"/>
    <mergeCell ref="A1122:G1122"/>
    <mergeCell ref="C1123:G1123"/>
    <mergeCell ref="C1126:G1126"/>
    <mergeCell ref="B1128:G1128"/>
    <mergeCell ref="C1110:G1110"/>
    <mergeCell ref="B1112:G1112"/>
    <mergeCell ref="A1113:G1113"/>
    <mergeCell ref="A1114:G1114"/>
    <mergeCell ref="C1115:G1115"/>
    <mergeCell ref="C1118:G1118"/>
    <mergeCell ref="C1102:G1102"/>
    <mergeCell ref="B1104:G1104"/>
    <mergeCell ref="A1105:G1105"/>
    <mergeCell ref="A1106:G1106"/>
    <mergeCell ref="C1107:G1107"/>
    <mergeCell ref="C1108:G1109"/>
    <mergeCell ref="C1092:G1092"/>
    <mergeCell ref="B1094:G1094"/>
    <mergeCell ref="A1095:G1095"/>
    <mergeCell ref="A1096:G1096"/>
    <mergeCell ref="C1097:G1097"/>
    <mergeCell ref="C1098:G1101"/>
    <mergeCell ref="C1082:G1083"/>
    <mergeCell ref="C1084:G1084"/>
    <mergeCell ref="B1086:G1086"/>
    <mergeCell ref="A1087:G1087"/>
    <mergeCell ref="A1088:G1088"/>
    <mergeCell ref="C1089:G1089"/>
    <mergeCell ref="B1076:G1076"/>
    <mergeCell ref="B1077:G1077"/>
    <mergeCell ref="B1078:G1078"/>
    <mergeCell ref="A1079:G1079"/>
    <mergeCell ref="A1080:G1080"/>
    <mergeCell ref="C1081:G1081"/>
    <mergeCell ref="A1068:G1068"/>
    <mergeCell ref="A1069:B1069"/>
    <mergeCell ref="E1069:G1069"/>
    <mergeCell ref="A1070:B1070"/>
    <mergeCell ref="E1070:G1074"/>
    <mergeCell ref="A1071:B1071"/>
    <mergeCell ref="A1072:B1072"/>
    <mergeCell ref="A1073:B1073"/>
    <mergeCell ref="A1062:B1062"/>
    <mergeCell ref="E1062:G1062"/>
    <mergeCell ref="A1063:B1063"/>
    <mergeCell ref="E1063:G1064"/>
    <mergeCell ref="B1066:G1066"/>
    <mergeCell ref="A1067:G1067"/>
    <mergeCell ref="A1055:B1055"/>
    <mergeCell ref="E1055:G1057"/>
    <mergeCell ref="A1056:B1056"/>
    <mergeCell ref="B1059:G1059"/>
    <mergeCell ref="A1060:G1060"/>
    <mergeCell ref="A1061:G1061"/>
    <mergeCell ref="A1049:F1049"/>
    <mergeCell ref="B1051:G1051"/>
    <mergeCell ref="A1052:G1052"/>
    <mergeCell ref="A1053:G1053"/>
    <mergeCell ref="A1054:B1054"/>
    <mergeCell ref="E1054:G1054"/>
    <mergeCell ref="A1043:B1048"/>
    <mergeCell ref="C1043:F1043"/>
    <mergeCell ref="C1044:F1044"/>
    <mergeCell ref="C1045:F1045"/>
    <mergeCell ref="C1046:F1046"/>
    <mergeCell ref="C1047:F1047"/>
    <mergeCell ref="C1048:F1048"/>
    <mergeCell ref="A1022:G1022"/>
    <mergeCell ref="A1023:G1023"/>
    <mergeCell ref="A1032:G1032"/>
    <mergeCell ref="A1033:G1033"/>
    <mergeCell ref="A1041:G1041"/>
    <mergeCell ref="A1042:G1042"/>
    <mergeCell ref="C1008:F1008"/>
    <mergeCell ref="A1009:F1009"/>
    <mergeCell ref="B1011:G1011"/>
    <mergeCell ref="A1012:G1012"/>
    <mergeCell ref="A1013:G1013"/>
    <mergeCell ref="A1015:G1015"/>
    <mergeCell ref="A992:G992"/>
    <mergeCell ref="A993:G993"/>
    <mergeCell ref="A1001:G1001"/>
    <mergeCell ref="A1002:G1002"/>
    <mergeCell ref="A1003:B1008"/>
    <mergeCell ref="C1003:F1003"/>
    <mergeCell ref="C1004:F1004"/>
    <mergeCell ref="C1005:F1005"/>
    <mergeCell ref="C1006:F1006"/>
    <mergeCell ref="C1007:F1007"/>
    <mergeCell ref="B971:G971"/>
    <mergeCell ref="A972:G972"/>
    <mergeCell ref="A973:G973"/>
    <mergeCell ref="A975:G975"/>
    <mergeCell ref="A982:G982"/>
    <mergeCell ref="A983:G983"/>
    <mergeCell ref="A963:B963"/>
    <mergeCell ref="A964:B964"/>
    <mergeCell ref="A965:B965"/>
    <mergeCell ref="A966:B966"/>
    <mergeCell ref="A967:B967"/>
    <mergeCell ref="A968:B968"/>
    <mergeCell ref="A955:B955"/>
    <mergeCell ref="E955:G955"/>
    <mergeCell ref="A956:B956"/>
    <mergeCell ref="E956:G969"/>
    <mergeCell ref="A957:B957"/>
    <mergeCell ref="A958:B958"/>
    <mergeCell ref="A959:B959"/>
    <mergeCell ref="A960:B960"/>
    <mergeCell ref="A961:B961"/>
    <mergeCell ref="A962:B962"/>
    <mergeCell ref="A947:B947"/>
    <mergeCell ref="A948:B948"/>
    <mergeCell ref="A949:B949"/>
    <mergeCell ref="B952:G952"/>
    <mergeCell ref="A953:G953"/>
    <mergeCell ref="A954:G954"/>
    <mergeCell ref="A941:B941"/>
    <mergeCell ref="A942:B942"/>
    <mergeCell ref="A943:B943"/>
    <mergeCell ref="A944:B944"/>
    <mergeCell ref="A945:B945"/>
    <mergeCell ref="A946:B946"/>
    <mergeCell ref="B933:G933"/>
    <mergeCell ref="A934:G934"/>
    <mergeCell ref="A935:G935"/>
    <mergeCell ref="A936:B936"/>
    <mergeCell ref="E936:G936"/>
    <mergeCell ref="A937:B937"/>
    <mergeCell ref="E937:G950"/>
    <mergeCell ref="A938:B938"/>
    <mergeCell ref="A939:B939"/>
    <mergeCell ref="A940:B940"/>
    <mergeCell ref="A925:B925"/>
    <mergeCell ref="A926:B926"/>
    <mergeCell ref="A927:B927"/>
    <mergeCell ref="A928:B928"/>
    <mergeCell ref="A929:B929"/>
    <mergeCell ref="A930:B930"/>
    <mergeCell ref="A916:B916"/>
    <mergeCell ref="E916:G931"/>
    <mergeCell ref="A917:B917"/>
    <mergeCell ref="A918:B918"/>
    <mergeCell ref="A919:B919"/>
    <mergeCell ref="A920:B920"/>
    <mergeCell ref="A921:B921"/>
    <mergeCell ref="A922:B922"/>
    <mergeCell ref="A923:B923"/>
    <mergeCell ref="A924:B924"/>
    <mergeCell ref="A910:F910"/>
    <mergeCell ref="B912:G912"/>
    <mergeCell ref="A913:G913"/>
    <mergeCell ref="A914:G914"/>
    <mergeCell ref="A915:B915"/>
    <mergeCell ref="E915:G915"/>
    <mergeCell ref="A903:G903"/>
    <mergeCell ref="A904:B909"/>
    <mergeCell ref="C904:F904"/>
    <mergeCell ref="C905:F905"/>
    <mergeCell ref="C906:F906"/>
    <mergeCell ref="C907:F907"/>
    <mergeCell ref="C908:F908"/>
    <mergeCell ref="C909:F909"/>
    <mergeCell ref="A868:G868"/>
    <mergeCell ref="A877:G877"/>
    <mergeCell ref="A878:G878"/>
    <mergeCell ref="A891:G891"/>
    <mergeCell ref="A892:G892"/>
    <mergeCell ref="A902:G902"/>
    <mergeCell ref="C860:F860"/>
    <mergeCell ref="C861:F861"/>
    <mergeCell ref="A862:F862"/>
    <mergeCell ref="B864:G864"/>
    <mergeCell ref="A865:G865"/>
    <mergeCell ref="A866:G866"/>
    <mergeCell ref="A830:G830"/>
    <mergeCell ref="A843:G843"/>
    <mergeCell ref="A844:G844"/>
    <mergeCell ref="A854:G854"/>
    <mergeCell ref="A855:G855"/>
    <mergeCell ref="A856:B861"/>
    <mergeCell ref="C856:F856"/>
    <mergeCell ref="C857:F857"/>
    <mergeCell ref="C858:F858"/>
    <mergeCell ref="C859:F859"/>
    <mergeCell ref="A814:F814"/>
    <mergeCell ref="B816:G816"/>
    <mergeCell ref="A817:G817"/>
    <mergeCell ref="A818:G818"/>
    <mergeCell ref="A820:G820"/>
    <mergeCell ref="A829:G829"/>
    <mergeCell ref="A796:G796"/>
    <mergeCell ref="A806:G806"/>
    <mergeCell ref="A807:G807"/>
    <mergeCell ref="A808:B813"/>
    <mergeCell ref="C808:F808"/>
    <mergeCell ref="C809:F809"/>
    <mergeCell ref="C810:F810"/>
    <mergeCell ref="C811:F811"/>
    <mergeCell ref="C812:F812"/>
    <mergeCell ref="C813:F813"/>
    <mergeCell ref="A769:G769"/>
    <mergeCell ref="A770:G770"/>
    <mergeCell ref="A772:G772"/>
    <mergeCell ref="A781:G781"/>
    <mergeCell ref="A782:G782"/>
    <mergeCell ref="A795:G795"/>
    <mergeCell ref="F760:G760"/>
    <mergeCell ref="F761:G765"/>
    <mergeCell ref="A762:C762"/>
    <mergeCell ref="A765:C765"/>
    <mergeCell ref="B767:G767"/>
    <mergeCell ref="B768:G768"/>
    <mergeCell ref="F754:G754"/>
    <mergeCell ref="A755:E755"/>
    <mergeCell ref="F755:G755"/>
    <mergeCell ref="B757:G757"/>
    <mergeCell ref="A758:G758"/>
    <mergeCell ref="A759:G759"/>
    <mergeCell ref="A748:E748"/>
    <mergeCell ref="F748:G748"/>
    <mergeCell ref="B750:G750"/>
    <mergeCell ref="A751:G751"/>
    <mergeCell ref="A752:G752"/>
    <mergeCell ref="F753:G753"/>
    <mergeCell ref="B742:G742"/>
    <mergeCell ref="B743:G743"/>
    <mergeCell ref="A744:G744"/>
    <mergeCell ref="A745:G745"/>
    <mergeCell ref="F746:G746"/>
    <mergeCell ref="F747:G747"/>
    <mergeCell ref="A731:C731"/>
    <mergeCell ref="B733:G733"/>
    <mergeCell ref="B734:G734"/>
    <mergeCell ref="A735:G735"/>
    <mergeCell ref="A736:G736"/>
    <mergeCell ref="A740:F740"/>
    <mergeCell ref="A726:G726"/>
    <mergeCell ref="A727:B727"/>
    <mergeCell ref="F727:G727"/>
    <mergeCell ref="A728:B730"/>
    <mergeCell ref="C728:C730"/>
    <mergeCell ref="D728:D730"/>
    <mergeCell ref="E728:E730"/>
    <mergeCell ref="F728:G730"/>
    <mergeCell ref="A721:B721"/>
    <mergeCell ref="E721:G721"/>
    <mergeCell ref="A722:C722"/>
    <mergeCell ref="E722:G722"/>
    <mergeCell ref="B724:G724"/>
    <mergeCell ref="A725:G725"/>
    <mergeCell ref="A717:G717"/>
    <mergeCell ref="A718:B718"/>
    <mergeCell ref="E718:G718"/>
    <mergeCell ref="A719:B719"/>
    <mergeCell ref="E719:G719"/>
    <mergeCell ref="A720:B720"/>
    <mergeCell ref="E720:G720"/>
    <mergeCell ref="A712:B712"/>
    <mergeCell ref="E712:G712"/>
    <mergeCell ref="A713:C713"/>
    <mergeCell ref="E713:G713"/>
    <mergeCell ref="B715:G715"/>
    <mergeCell ref="A716:G716"/>
    <mergeCell ref="A708:G708"/>
    <mergeCell ref="A709:B709"/>
    <mergeCell ref="E709:G709"/>
    <mergeCell ref="A710:B710"/>
    <mergeCell ref="E710:G710"/>
    <mergeCell ref="A711:B711"/>
    <mergeCell ref="E711:G711"/>
    <mergeCell ref="A703:B703"/>
    <mergeCell ref="E703:G703"/>
    <mergeCell ref="A704:C704"/>
    <mergeCell ref="E704:G704"/>
    <mergeCell ref="B706:G706"/>
    <mergeCell ref="A707:G707"/>
    <mergeCell ref="A698:G698"/>
    <mergeCell ref="B699:G699"/>
    <mergeCell ref="A700:G700"/>
    <mergeCell ref="A701:G701"/>
    <mergeCell ref="A702:B702"/>
    <mergeCell ref="E702:G702"/>
    <mergeCell ref="A695:B695"/>
    <mergeCell ref="E695:G695"/>
    <mergeCell ref="A696:B696"/>
    <mergeCell ref="E696:G696"/>
    <mergeCell ref="A697:C697"/>
    <mergeCell ref="E697:G697"/>
    <mergeCell ref="A691:G691"/>
    <mergeCell ref="A692:B692"/>
    <mergeCell ref="E692:G692"/>
    <mergeCell ref="A693:B693"/>
    <mergeCell ref="E693:G693"/>
    <mergeCell ref="A694:B694"/>
    <mergeCell ref="E694:G694"/>
    <mergeCell ref="A686:B686"/>
    <mergeCell ref="E686:G686"/>
    <mergeCell ref="A687:C687"/>
    <mergeCell ref="E687:G687"/>
    <mergeCell ref="B689:G689"/>
    <mergeCell ref="A690:G690"/>
    <mergeCell ref="A683:B683"/>
    <mergeCell ref="E683:G683"/>
    <mergeCell ref="A684:B684"/>
    <mergeCell ref="E684:G684"/>
    <mergeCell ref="A685:B685"/>
    <mergeCell ref="E685:G685"/>
    <mergeCell ref="B678:G678"/>
    <mergeCell ref="A679:G679"/>
    <mergeCell ref="A680:G680"/>
    <mergeCell ref="A681:B681"/>
    <mergeCell ref="E681:G681"/>
    <mergeCell ref="A682:B682"/>
    <mergeCell ref="E682:G682"/>
    <mergeCell ref="A670:B670"/>
    <mergeCell ref="A671:B671"/>
    <mergeCell ref="A672:B672"/>
    <mergeCell ref="A673:B673"/>
    <mergeCell ref="A674:B674"/>
    <mergeCell ref="B677:G677"/>
    <mergeCell ref="A662:B662"/>
    <mergeCell ref="E662:G662"/>
    <mergeCell ref="A663:B663"/>
    <mergeCell ref="E663:G675"/>
    <mergeCell ref="A664:B664"/>
    <mergeCell ref="A665:B665"/>
    <mergeCell ref="A666:B666"/>
    <mergeCell ref="A667:B667"/>
    <mergeCell ref="A668:B668"/>
    <mergeCell ref="A669:B669"/>
    <mergeCell ref="A654:B654"/>
    <mergeCell ref="A655:B655"/>
    <mergeCell ref="A656:B656"/>
    <mergeCell ref="B659:G659"/>
    <mergeCell ref="A660:G660"/>
    <mergeCell ref="A661:G661"/>
    <mergeCell ref="A645:B645"/>
    <mergeCell ref="E645:G657"/>
    <mergeCell ref="A646:B646"/>
    <mergeCell ref="A647:B647"/>
    <mergeCell ref="A648:B648"/>
    <mergeCell ref="A649:B649"/>
    <mergeCell ref="A650:B650"/>
    <mergeCell ref="A651:B651"/>
    <mergeCell ref="A652:B652"/>
    <mergeCell ref="A653:B653"/>
    <mergeCell ref="A639:F639"/>
    <mergeCell ref="B641:G641"/>
    <mergeCell ref="A642:G642"/>
    <mergeCell ref="A643:G643"/>
    <mergeCell ref="A644:B644"/>
    <mergeCell ref="E644:G644"/>
    <mergeCell ref="A632:G632"/>
    <mergeCell ref="A633:B638"/>
    <mergeCell ref="C633:F633"/>
    <mergeCell ref="C634:F634"/>
    <mergeCell ref="C635:F635"/>
    <mergeCell ref="C636:F636"/>
    <mergeCell ref="C637:F637"/>
    <mergeCell ref="C638:F638"/>
    <mergeCell ref="A619:G619"/>
    <mergeCell ref="A622:G622"/>
    <mergeCell ref="A623:G623"/>
    <mergeCell ref="A626:G626"/>
    <mergeCell ref="A627:G627"/>
    <mergeCell ref="A631:G631"/>
    <mergeCell ref="C611:F611"/>
    <mergeCell ref="C612:F612"/>
    <mergeCell ref="A613:F613"/>
    <mergeCell ref="B615:G615"/>
    <mergeCell ref="A616:G616"/>
    <mergeCell ref="A617:G617"/>
    <mergeCell ref="A587:G587"/>
    <mergeCell ref="A596:G596"/>
    <mergeCell ref="A597:G597"/>
    <mergeCell ref="A605:G605"/>
    <mergeCell ref="A606:G606"/>
    <mergeCell ref="A607:B612"/>
    <mergeCell ref="C607:F607"/>
    <mergeCell ref="C608:F608"/>
    <mergeCell ref="C609:F609"/>
    <mergeCell ref="C610:F610"/>
    <mergeCell ref="A573:F573"/>
    <mergeCell ref="B575:G575"/>
    <mergeCell ref="A576:G576"/>
    <mergeCell ref="A577:G577"/>
    <mergeCell ref="A579:G579"/>
    <mergeCell ref="A586:G586"/>
    <mergeCell ref="A566:G566"/>
    <mergeCell ref="A567:B572"/>
    <mergeCell ref="C567:F567"/>
    <mergeCell ref="C568:F568"/>
    <mergeCell ref="C569:F569"/>
    <mergeCell ref="C570:F570"/>
    <mergeCell ref="C571:F571"/>
    <mergeCell ref="C572:F572"/>
    <mergeCell ref="A553:G553"/>
    <mergeCell ref="A556:G556"/>
    <mergeCell ref="A557:G557"/>
    <mergeCell ref="A560:G560"/>
    <mergeCell ref="A561:G561"/>
    <mergeCell ref="A565:G565"/>
    <mergeCell ref="C545:F545"/>
    <mergeCell ref="C546:F546"/>
    <mergeCell ref="A547:F547"/>
    <mergeCell ref="B549:G549"/>
    <mergeCell ref="A550:G550"/>
    <mergeCell ref="A551:G551"/>
    <mergeCell ref="A517:G517"/>
    <mergeCell ref="A528:G528"/>
    <mergeCell ref="A529:G529"/>
    <mergeCell ref="A539:G539"/>
    <mergeCell ref="A540:G540"/>
    <mergeCell ref="A541:B546"/>
    <mergeCell ref="C541:F541"/>
    <mergeCell ref="C542:F542"/>
    <mergeCell ref="C543:F543"/>
    <mergeCell ref="C544:F544"/>
    <mergeCell ref="A501:F501"/>
    <mergeCell ref="B503:G503"/>
    <mergeCell ref="A504:G504"/>
    <mergeCell ref="A505:G505"/>
    <mergeCell ref="A507:G507"/>
    <mergeCell ref="A516:G516"/>
    <mergeCell ref="A490:G490"/>
    <mergeCell ref="A495:G495"/>
    <mergeCell ref="A496:G496"/>
    <mergeCell ref="A497:B500"/>
    <mergeCell ref="C497:F497"/>
    <mergeCell ref="C498:F498"/>
    <mergeCell ref="C499:F499"/>
    <mergeCell ref="C500:F500"/>
    <mergeCell ref="A473:F473"/>
    <mergeCell ref="B475:G475"/>
    <mergeCell ref="A476:G476"/>
    <mergeCell ref="A477:G477"/>
    <mergeCell ref="A479:G479"/>
    <mergeCell ref="A489:G489"/>
    <mergeCell ref="A462:G462"/>
    <mergeCell ref="A467:G467"/>
    <mergeCell ref="A468:G468"/>
    <mergeCell ref="A469:B472"/>
    <mergeCell ref="C469:F469"/>
    <mergeCell ref="C470:F470"/>
    <mergeCell ref="C471:F471"/>
    <mergeCell ref="C472:F472"/>
    <mergeCell ref="A445:F445"/>
    <mergeCell ref="B447:G447"/>
    <mergeCell ref="A448:G448"/>
    <mergeCell ref="A449:G449"/>
    <mergeCell ref="A451:G451"/>
    <mergeCell ref="A461:G461"/>
    <mergeCell ref="A438:G438"/>
    <mergeCell ref="A439:B444"/>
    <mergeCell ref="C439:F439"/>
    <mergeCell ref="C440:F440"/>
    <mergeCell ref="C441:F441"/>
    <mergeCell ref="C442:F442"/>
    <mergeCell ref="C443:F443"/>
    <mergeCell ref="C444:F444"/>
    <mergeCell ref="A403:G403"/>
    <mergeCell ref="A412:G412"/>
    <mergeCell ref="A413:G413"/>
    <mergeCell ref="A426:G426"/>
    <mergeCell ref="A427:G427"/>
    <mergeCell ref="A437:G437"/>
    <mergeCell ref="C396:F396"/>
    <mergeCell ref="A397:F397"/>
    <mergeCell ref="A398:G398"/>
    <mergeCell ref="B399:G399"/>
    <mergeCell ref="A400:G400"/>
    <mergeCell ref="A401:G401"/>
    <mergeCell ref="I385:J385"/>
    <mergeCell ref="A389:G389"/>
    <mergeCell ref="A390:G390"/>
    <mergeCell ref="A391:B396"/>
    <mergeCell ref="C391:F391"/>
    <mergeCell ref="C392:F392"/>
    <mergeCell ref="C393:F393"/>
    <mergeCell ref="C394:F394"/>
    <mergeCell ref="C395:F395"/>
    <mergeCell ref="A355:G355"/>
    <mergeCell ref="A364:G364"/>
    <mergeCell ref="A365:G365"/>
    <mergeCell ref="A378:G378"/>
    <mergeCell ref="A379:G379"/>
    <mergeCell ref="I384:J384"/>
    <mergeCell ref="B338:G338"/>
    <mergeCell ref="B339:G339"/>
    <mergeCell ref="A340:G340"/>
    <mergeCell ref="A341:G341"/>
    <mergeCell ref="A342:G342"/>
    <mergeCell ref="E353:F353"/>
    <mergeCell ref="B329:G329"/>
    <mergeCell ref="A330:G330"/>
    <mergeCell ref="A331:G331"/>
    <mergeCell ref="F332:G332"/>
    <mergeCell ref="F333:G335"/>
    <mergeCell ref="A336:D336"/>
    <mergeCell ref="A321:D321"/>
    <mergeCell ref="B323:G323"/>
    <mergeCell ref="A324:G324"/>
    <mergeCell ref="A325:G325"/>
    <mergeCell ref="E326:G326"/>
    <mergeCell ref="E327:G327"/>
    <mergeCell ref="A311:F311"/>
    <mergeCell ref="B313:G313"/>
    <mergeCell ref="A314:G314"/>
    <mergeCell ref="A315:G315"/>
    <mergeCell ref="F316:G316"/>
    <mergeCell ref="F317:G320"/>
    <mergeCell ref="A304:F304"/>
    <mergeCell ref="B306:G306"/>
    <mergeCell ref="A307:G307"/>
    <mergeCell ref="A308:G308"/>
    <mergeCell ref="F309:G309"/>
    <mergeCell ref="F310:G310"/>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269:F269"/>
    <mergeCell ref="B271:G271"/>
    <mergeCell ref="A272:G272"/>
    <mergeCell ref="A273:G273"/>
    <mergeCell ref="F274:G274"/>
    <mergeCell ref="F275:G275"/>
    <mergeCell ref="A263:G263"/>
    <mergeCell ref="B264:G264"/>
    <mergeCell ref="A265:G265"/>
    <mergeCell ref="A266:G266"/>
    <mergeCell ref="F267:G267"/>
    <mergeCell ref="F268:G268"/>
    <mergeCell ref="B257:G257"/>
    <mergeCell ref="A258:G258"/>
    <mergeCell ref="A259:G259"/>
    <mergeCell ref="F260:G260"/>
    <mergeCell ref="F261:G261"/>
    <mergeCell ref="A262:F262"/>
    <mergeCell ref="A251:G251"/>
    <mergeCell ref="A252:G252"/>
    <mergeCell ref="F253:G253"/>
    <mergeCell ref="F254:G254"/>
    <mergeCell ref="A255:F255"/>
    <mergeCell ref="A256:G256"/>
    <mergeCell ref="A245:G245"/>
    <mergeCell ref="F246:G246"/>
    <mergeCell ref="F247:G247"/>
    <mergeCell ref="A248:F248"/>
    <mergeCell ref="A249:G249"/>
    <mergeCell ref="B250:G250"/>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B222:G222"/>
    <mergeCell ref="A223:G223"/>
    <mergeCell ref="F218:G218"/>
    <mergeCell ref="F219:G219"/>
    <mergeCell ref="A220:D220"/>
    <mergeCell ref="E220:F220"/>
    <mergeCell ref="A194:B194"/>
    <mergeCell ref="B198:G198"/>
    <mergeCell ref="B215:G215"/>
    <mergeCell ref="A216:G216"/>
    <mergeCell ref="A217:G217"/>
    <mergeCell ref="A189:G189"/>
    <mergeCell ref="A192:G192"/>
    <mergeCell ref="E194:G194"/>
    <mergeCell ref="B191:G191"/>
    <mergeCell ref="A193:G193"/>
    <mergeCell ref="A195:B195"/>
    <mergeCell ref="E195:G196"/>
    <mergeCell ref="F207:G207"/>
    <mergeCell ref="F209:G209"/>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E157:G157"/>
    <mergeCell ref="E158:G163"/>
    <mergeCell ref="A165:B165"/>
    <mergeCell ref="E165:G165"/>
    <mergeCell ref="B167:G167"/>
    <mergeCell ref="A168:G168"/>
    <mergeCell ref="E149:G151"/>
    <mergeCell ref="A152:B152"/>
    <mergeCell ref="E152:G152"/>
    <mergeCell ref="B154:G154"/>
    <mergeCell ref="A155:G155"/>
    <mergeCell ref="A156:G156"/>
    <mergeCell ref="A142:B142"/>
    <mergeCell ref="E142:G142"/>
    <mergeCell ref="B144:G144"/>
    <mergeCell ref="A145:G145"/>
    <mergeCell ref="A146:G146"/>
    <mergeCell ref="E147:G147"/>
    <mergeCell ref="A138:A141"/>
    <mergeCell ref="B138:B141"/>
    <mergeCell ref="C138:C141"/>
    <mergeCell ref="D138:D141"/>
    <mergeCell ref="E138:G138"/>
    <mergeCell ref="E139:G141"/>
    <mergeCell ref="A136:G136"/>
    <mergeCell ref="E137:G137"/>
    <mergeCell ref="B56:G56"/>
    <mergeCell ref="A57:G57"/>
    <mergeCell ref="A47:G47"/>
    <mergeCell ref="A48:G48"/>
    <mergeCell ref="B49:C49"/>
    <mergeCell ref="E49:G49"/>
    <mergeCell ref="B50:C50"/>
    <mergeCell ref="E50:G50"/>
    <mergeCell ref="C130:F130"/>
    <mergeCell ref="C131:F131"/>
    <mergeCell ref="A132:B132"/>
    <mergeCell ref="C132:F132"/>
    <mergeCell ref="B134:G134"/>
    <mergeCell ref="A135:G135"/>
    <mergeCell ref="A118:G118"/>
    <mergeCell ref="A123:B123"/>
    <mergeCell ref="C123:G123"/>
    <mergeCell ref="A124:B131"/>
    <mergeCell ref="A95:G95"/>
    <mergeCell ref="B38:G38"/>
    <mergeCell ref="E25:G25"/>
    <mergeCell ref="A26:C26"/>
    <mergeCell ref="B28:G28"/>
    <mergeCell ref="A29:G29"/>
    <mergeCell ref="A30:G30"/>
    <mergeCell ref="B31:C31"/>
    <mergeCell ref="E31:G31"/>
    <mergeCell ref="B73:G73"/>
    <mergeCell ref="B75:G75"/>
    <mergeCell ref="B77:G77"/>
    <mergeCell ref="B79:G79"/>
    <mergeCell ref="B81:G81"/>
    <mergeCell ref="B82:G82"/>
    <mergeCell ref="A58:G58"/>
    <mergeCell ref="E68:F68"/>
    <mergeCell ref="B69:C69"/>
    <mergeCell ref="E69:G69"/>
    <mergeCell ref="B70:C70"/>
    <mergeCell ref="E70:G70"/>
    <mergeCell ref="I53:M54"/>
    <mergeCell ref="A54:G54"/>
    <mergeCell ref="I50:J50"/>
    <mergeCell ref="B10:G10"/>
    <mergeCell ref="B12:G12"/>
    <mergeCell ref="B14:G14"/>
    <mergeCell ref="A15:G15"/>
    <mergeCell ref="A16:G16"/>
    <mergeCell ref="A17:B18"/>
    <mergeCell ref="D17:G17"/>
    <mergeCell ref="D18:G18"/>
    <mergeCell ref="A39:G39"/>
    <mergeCell ref="A40:G40"/>
    <mergeCell ref="B42:G42"/>
    <mergeCell ref="A43:G43"/>
    <mergeCell ref="A44:G44"/>
    <mergeCell ref="B46:G46"/>
    <mergeCell ref="A1236:B1236"/>
    <mergeCell ref="E1236:G1236"/>
    <mergeCell ref="A1:G1"/>
    <mergeCell ref="A2:G2"/>
    <mergeCell ref="A3:G3"/>
    <mergeCell ref="B5:F5"/>
    <mergeCell ref="B6:E6"/>
    <mergeCell ref="A9:G9"/>
    <mergeCell ref="B32:C32"/>
    <mergeCell ref="E32:G35"/>
    <mergeCell ref="B33:C33"/>
    <mergeCell ref="B34:C34"/>
    <mergeCell ref="B35:C35"/>
    <mergeCell ref="A19:B19"/>
    <mergeCell ref="D19:G19"/>
    <mergeCell ref="B21:G21"/>
    <mergeCell ref="A22:G22"/>
    <mergeCell ref="A23:G23"/>
    <mergeCell ref="E24:G24"/>
    <mergeCell ref="B52:G52"/>
    <mergeCell ref="A53:G53"/>
    <mergeCell ref="C124:F124"/>
    <mergeCell ref="C125:F125"/>
    <mergeCell ref="C126:F126"/>
    <mergeCell ref="C127:F127"/>
    <mergeCell ref="C128:F128"/>
    <mergeCell ref="C129:F129"/>
    <mergeCell ref="A97:G97"/>
    <mergeCell ref="A108:G108"/>
    <mergeCell ref="A112:G112"/>
    <mergeCell ref="A83:G83"/>
    <mergeCell ref="E94:F94"/>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3"/>
  <sheetViews>
    <sheetView topLeftCell="A13" workbookViewId="0">
      <selection activeCell="A74" sqref="A74:C74"/>
    </sheetView>
  </sheetViews>
  <sheetFormatPr defaultRowHeight="15"/>
  <cols>
    <col min="1" max="1" width="85.7109375" customWidth="1"/>
    <col min="2" max="2" width="12.140625" customWidth="1"/>
    <col min="3" max="3" width="11.5703125" customWidth="1"/>
  </cols>
  <sheetData>
    <row r="1" spans="1:3" ht="27" thickBot="1">
      <c r="A1" s="2442" t="s">
        <v>1429</v>
      </c>
      <c r="B1" s="2443"/>
      <c r="C1" s="2444"/>
    </row>
    <row r="2" spans="1:3" ht="18" thickBot="1">
      <c r="A2" s="2445" t="s">
        <v>1168</v>
      </c>
      <c r="B2" s="2446"/>
      <c r="C2" s="2447"/>
    </row>
    <row r="3" spans="1:3" ht="18" thickBot="1">
      <c r="A3" s="2440" t="s">
        <v>1169</v>
      </c>
      <c r="B3" s="2441"/>
      <c r="C3" s="397" t="s">
        <v>202</v>
      </c>
    </row>
    <row r="4" spans="1:3">
      <c r="A4" s="398" t="s">
        <v>1170</v>
      </c>
      <c r="B4" s="399">
        <f>11.34+19</f>
        <v>30.34</v>
      </c>
      <c r="C4" s="400" t="s">
        <v>1171</v>
      </c>
    </row>
    <row r="5" spans="1:3" ht="33" customHeight="1">
      <c r="A5" s="401" t="s">
        <v>1172</v>
      </c>
      <c r="B5" s="402">
        <f>(B21/0.15)*0.55</f>
        <v>35.493333333333332</v>
      </c>
      <c r="C5" s="403" t="s">
        <v>1171</v>
      </c>
    </row>
    <row r="6" spans="1:3" ht="30">
      <c r="A6" s="398" t="s">
        <v>1173</v>
      </c>
      <c r="B6" s="399">
        <f>B5-B21</f>
        <v>25.813333333333333</v>
      </c>
      <c r="C6" s="403" t="s">
        <v>1171</v>
      </c>
    </row>
    <row r="7" spans="1:3">
      <c r="A7" s="398" t="s">
        <v>1174</v>
      </c>
      <c r="B7" s="399">
        <f>B13+B21</f>
        <v>40.019999999999996</v>
      </c>
      <c r="C7" s="403" t="s">
        <v>1171</v>
      </c>
    </row>
    <row r="8" spans="1:3">
      <c r="A8" s="401" t="s">
        <v>1175</v>
      </c>
      <c r="B8" s="402">
        <f>2.57*28</f>
        <v>71.959999999999994</v>
      </c>
      <c r="C8" s="403" t="s">
        <v>1176</v>
      </c>
    </row>
    <row r="9" spans="1:3" ht="30">
      <c r="A9" s="401" t="s">
        <v>1177</v>
      </c>
      <c r="B9" s="402">
        <f>B5/0.5</f>
        <v>70.986666666666665</v>
      </c>
      <c r="C9" s="403" t="s">
        <v>1176</v>
      </c>
    </row>
    <row r="10" spans="1:3" ht="15.75" thickBot="1">
      <c r="A10" s="404" t="s">
        <v>1178</v>
      </c>
      <c r="B10" s="405">
        <f>161*(0.4+0.15+0.4)</f>
        <v>152.95000000000002</v>
      </c>
      <c r="C10" s="406" t="s">
        <v>1176</v>
      </c>
    </row>
    <row r="11" spans="1:3" ht="18" thickBot="1">
      <c r="A11" s="2440" t="s">
        <v>1179</v>
      </c>
      <c r="B11" s="2441"/>
      <c r="C11" s="407" t="s">
        <v>202</v>
      </c>
    </row>
    <row r="12" spans="1:3">
      <c r="A12" s="452" t="s">
        <v>1180</v>
      </c>
      <c r="B12" s="399">
        <f>8.88+4.44</f>
        <v>13.32</v>
      </c>
      <c r="C12" s="400" t="s">
        <v>1176</v>
      </c>
    </row>
    <row r="13" spans="1:3">
      <c r="A13" s="408" t="s">
        <v>1181</v>
      </c>
      <c r="B13" s="402">
        <f>11.34+19</f>
        <v>30.34</v>
      </c>
      <c r="C13" s="403" t="s">
        <v>1171</v>
      </c>
    </row>
    <row r="14" spans="1:3">
      <c r="A14" s="408" t="s">
        <v>1182</v>
      </c>
      <c r="B14" s="402">
        <f>B13</f>
        <v>30.34</v>
      </c>
      <c r="C14" s="403" t="s">
        <v>1171</v>
      </c>
    </row>
    <row r="15" spans="1:3">
      <c r="A15" s="408" t="s">
        <v>1183</v>
      </c>
      <c r="B15" s="402">
        <f>33.6+48.2</f>
        <v>81.800000000000011</v>
      </c>
      <c r="C15" s="403" t="s">
        <v>1184</v>
      </c>
    </row>
    <row r="16" spans="1:3">
      <c r="A16" s="408" t="s">
        <v>1185</v>
      </c>
      <c r="B16" s="402">
        <f>127.1+158.2</f>
        <v>285.29999999999995</v>
      </c>
      <c r="C16" s="403" t="s">
        <v>1184</v>
      </c>
    </row>
    <row r="17" spans="1:3">
      <c r="A17" s="408" t="s">
        <v>1186</v>
      </c>
      <c r="B17" s="402">
        <f>4.2</f>
        <v>4.2</v>
      </c>
      <c r="C17" s="409" t="s">
        <v>1184</v>
      </c>
    </row>
    <row r="18" spans="1:3" ht="15.75" thickBot="1">
      <c r="A18" s="410" t="s">
        <v>1187</v>
      </c>
      <c r="B18" s="405">
        <f>45.8+64.9</f>
        <v>110.7</v>
      </c>
      <c r="C18" s="406" t="s">
        <v>1184</v>
      </c>
    </row>
    <row r="19" spans="1:3" ht="18" thickBot="1">
      <c r="A19" s="2440" t="s">
        <v>215</v>
      </c>
      <c r="B19" s="2441"/>
      <c r="C19" s="407" t="s">
        <v>202</v>
      </c>
    </row>
    <row r="20" spans="1:3">
      <c r="A20" s="411" t="s">
        <v>1188</v>
      </c>
      <c r="B20" s="399">
        <f>112.11+41.11</f>
        <v>153.22</v>
      </c>
      <c r="C20" s="400" t="s">
        <v>1176</v>
      </c>
    </row>
    <row r="21" spans="1:3">
      <c r="A21" s="412" t="s">
        <v>1181</v>
      </c>
      <c r="B21" s="402">
        <f>7.08+2.6</f>
        <v>9.68</v>
      </c>
      <c r="C21" s="403" t="s">
        <v>1171</v>
      </c>
    </row>
    <row r="22" spans="1:3">
      <c r="A22" s="412" t="s">
        <v>1182</v>
      </c>
      <c r="B22" s="402">
        <f>B21</f>
        <v>9.68</v>
      </c>
      <c r="C22" s="403" t="s">
        <v>1171</v>
      </c>
    </row>
    <row r="23" spans="1:3">
      <c r="A23" s="412" t="s">
        <v>1183</v>
      </c>
      <c r="B23" s="402">
        <f>74.3+27.5</f>
        <v>101.8</v>
      </c>
      <c r="C23" s="403" t="s">
        <v>1184</v>
      </c>
    </row>
    <row r="24" spans="1:3">
      <c r="A24" s="412" t="s">
        <v>1189</v>
      </c>
      <c r="B24" s="402">
        <f>19.4+13.7</f>
        <v>33.099999999999994</v>
      </c>
      <c r="C24" s="403" t="s">
        <v>1184</v>
      </c>
    </row>
    <row r="25" spans="1:3">
      <c r="A25" s="412" t="s">
        <v>1185</v>
      </c>
      <c r="B25" s="402">
        <f>271.1+97.6</f>
        <v>368.70000000000005</v>
      </c>
      <c r="C25" s="403" t="s">
        <v>1184</v>
      </c>
    </row>
    <row r="26" spans="1:3" ht="15.75" thickBot="1">
      <c r="A26" s="413" t="s">
        <v>1186</v>
      </c>
      <c r="B26" s="405">
        <f>20</f>
        <v>20</v>
      </c>
      <c r="C26" s="406" t="s">
        <v>1184</v>
      </c>
    </row>
    <row r="27" spans="1:3" ht="18" thickBot="1">
      <c r="A27" s="2440" t="s">
        <v>1430</v>
      </c>
      <c r="B27" s="2441"/>
      <c r="C27" s="414" t="s">
        <v>202</v>
      </c>
    </row>
    <row r="28" spans="1:3">
      <c r="A28" s="412" t="s">
        <v>1431</v>
      </c>
      <c r="B28" s="416">
        <v>209</v>
      </c>
      <c r="C28" s="403" t="s">
        <v>1176</v>
      </c>
    </row>
    <row r="29" spans="1:3">
      <c r="A29" s="412" t="s">
        <v>1181</v>
      </c>
      <c r="B29" s="416">
        <v>10.45</v>
      </c>
      <c r="C29" s="403" t="s">
        <v>1171</v>
      </c>
    </row>
    <row r="30" spans="1:3">
      <c r="A30" s="412" t="s">
        <v>1182</v>
      </c>
      <c r="B30" s="416">
        <f>B29</f>
        <v>10.45</v>
      </c>
      <c r="C30" s="403" t="s">
        <v>1171</v>
      </c>
    </row>
    <row r="31" spans="1:3">
      <c r="A31" s="412" t="s">
        <v>1190</v>
      </c>
      <c r="B31" s="416">
        <v>97.83</v>
      </c>
      <c r="C31" s="403" t="s">
        <v>1184</v>
      </c>
    </row>
    <row r="32" spans="1:3">
      <c r="A32" s="412" t="s">
        <v>1191</v>
      </c>
      <c r="B32" s="416">
        <v>160</v>
      </c>
      <c r="C32" s="403" t="s">
        <v>1184</v>
      </c>
    </row>
    <row r="33" spans="1:3">
      <c r="A33" s="412" t="s">
        <v>1189</v>
      </c>
      <c r="B33" s="416">
        <v>73.03</v>
      </c>
      <c r="C33" s="403" t="s">
        <v>1184</v>
      </c>
    </row>
    <row r="34" spans="1:3" ht="15.75" thickBot="1">
      <c r="A34" s="412" t="s">
        <v>1185</v>
      </c>
      <c r="B34" s="416">
        <v>11.8</v>
      </c>
      <c r="C34" s="403" t="s">
        <v>1184</v>
      </c>
    </row>
    <row r="35" spans="1:3" ht="18" thickBot="1">
      <c r="A35" s="2440" t="s">
        <v>1367</v>
      </c>
      <c r="B35" s="2441"/>
      <c r="C35" s="414" t="s">
        <v>202</v>
      </c>
    </row>
    <row r="36" spans="1:3">
      <c r="A36" s="411" t="s">
        <v>1188</v>
      </c>
      <c r="B36" s="415">
        <v>61.4</v>
      </c>
      <c r="C36" s="400" t="s">
        <v>1176</v>
      </c>
    </row>
    <row r="37" spans="1:3">
      <c r="A37" s="412" t="s">
        <v>1181</v>
      </c>
      <c r="B37" s="416">
        <v>11.07</v>
      </c>
      <c r="C37" s="403" t="s">
        <v>1171</v>
      </c>
    </row>
    <row r="38" spans="1:3">
      <c r="A38" s="412" t="s">
        <v>1182</v>
      </c>
      <c r="B38" s="416">
        <f>B37</f>
        <v>11.07</v>
      </c>
      <c r="C38" s="403" t="s">
        <v>1171</v>
      </c>
    </row>
    <row r="39" spans="1:3">
      <c r="A39" s="412" t="s">
        <v>1190</v>
      </c>
      <c r="B39" s="416">
        <v>113.63</v>
      </c>
      <c r="C39" s="403" t="s">
        <v>1184</v>
      </c>
    </row>
    <row r="40" spans="1:3">
      <c r="A40" s="412" t="s">
        <v>1191</v>
      </c>
      <c r="B40" s="416">
        <v>322</v>
      </c>
      <c r="C40" s="403" t="s">
        <v>1184</v>
      </c>
    </row>
    <row r="41" spans="1:3">
      <c r="A41" s="412" t="s">
        <v>1189</v>
      </c>
      <c r="B41" s="416">
        <v>28.07</v>
      </c>
      <c r="C41" s="403" t="s">
        <v>1184</v>
      </c>
    </row>
    <row r="42" spans="1:3">
      <c r="A42" s="412" t="s">
        <v>1185</v>
      </c>
      <c r="B42" s="416">
        <v>103.92</v>
      </c>
      <c r="C42" s="403" t="s">
        <v>1184</v>
      </c>
    </row>
    <row r="43" spans="1:3" ht="15.75" thickBot="1">
      <c r="A43" s="413" t="s">
        <v>1186</v>
      </c>
      <c r="B43" s="417">
        <f>114.3</f>
        <v>114.3</v>
      </c>
      <c r="C43" s="406" t="s">
        <v>1184</v>
      </c>
    </row>
    <row r="44" spans="1:3" ht="18" thickBot="1">
      <c r="A44" s="2440" t="s">
        <v>226</v>
      </c>
      <c r="B44" s="2441"/>
      <c r="C44" s="414" t="s">
        <v>202</v>
      </c>
    </row>
    <row r="45" spans="1:3">
      <c r="A45" s="411" t="s">
        <v>1188</v>
      </c>
      <c r="B45" s="415">
        <f>60.56+64.84+68.17</f>
        <v>193.57</v>
      </c>
      <c r="C45" s="400" t="s">
        <v>1176</v>
      </c>
    </row>
    <row r="46" spans="1:3">
      <c r="A46" s="412" t="s">
        <v>1181</v>
      </c>
      <c r="B46" s="416">
        <f>3.48+3.97+3.94</f>
        <v>11.39</v>
      </c>
      <c r="C46" s="403" t="s">
        <v>1171</v>
      </c>
    </row>
    <row r="47" spans="1:3">
      <c r="A47" s="412" t="s">
        <v>1182</v>
      </c>
      <c r="B47" s="416">
        <f>B46</f>
        <v>11.39</v>
      </c>
      <c r="C47" s="403" t="s">
        <v>1171</v>
      </c>
    </row>
    <row r="48" spans="1:3">
      <c r="A48" s="412" t="s">
        <v>1183</v>
      </c>
      <c r="B48" s="402">
        <f>77.3+82.9+94.7</f>
        <v>254.89999999999998</v>
      </c>
      <c r="C48" s="403" t="s">
        <v>1184</v>
      </c>
    </row>
    <row r="49" spans="1:3">
      <c r="A49" s="412" t="s">
        <v>1185</v>
      </c>
      <c r="B49" s="402">
        <f>161.7+176.4+236</f>
        <v>574.1</v>
      </c>
      <c r="C49" s="409" t="s">
        <v>1184</v>
      </c>
    </row>
    <row r="50" spans="1:3">
      <c r="A50" s="412" t="s">
        <v>1186</v>
      </c>
      <c r="B50" s="402">
        <f>11.1</f>
        <v>11.1</v>
      </c>
      <c r="C50" s="409" t="s">
        <v>1184</v>
      </c>
    </row>
    <row r="51" spans="1:3" ht="15.75" thickBot="1">
      <c r="A51" s="413" t="s">
        <v>1187</v>
      </c>
      <c r="B51" s="405">
        <f>136.6+246.2+45.5</f>
        <v>428.29999999999995</v>
      </c>
      <c r="C51" s="406" t="s">
        <v>1184</v>
      </c>
    </row>
    <row r="52" spans="1:3" ht="18" thickBot="1">
      <c r="A52" s="2440" t="s">
        <v>1192</v>
      </c>
      <c r="B52" s="2441"/>
      <c r="C52" s="407" t="s">
        <v>202</v>
      </c>
    </row>
    <row r="53" spans="1:3">
      <c r="A53" s="411" t="s">
        <v>1188</v>
      </c>
      <c r="B53" s="418">
        <f>104.7+59.93</f>
        <v>164.63</v>
      </c>
      <c r="C53" s="400" t="s">
        <v>1176</v>
      </c>
    </row>
    <row r="54" spans="1:3">
      <c r="A54" s="412" t="s">
        <v>1181</v>
      </c>
      <c r="B54" s="418">
        <f>6.93+3.84</f>
        <v>10.77</v>
      </c>
      <c r="C54" s="403" t="s">
        <v>1171</v>
      </c>
    </row>
    <row r="55" spans="1:3">
      <c r="A55" s="412" t="s">
        <v>1182</v>
      </c>
      <c r="B55" s="418">
        <f>B54</f>
        <v>10.77</v>
      </c>
      <c r="C55" s="403" t="s">
        <v>1171</v>
      </c>
    </row>
    <row r="56" spans="1:3">
      <c r="A56" s="412" t="s">
        <v>1183</v>
      </c>
      <c r="B56" s="418">
        <f>81.4+56.5</f>
        <v>137.9</v>
      </c>
      <c r="C56" s="403" t="s">
        <v>1184</v>
      </c>
    </row>
    <row r="57" spans="1:3">
      <c r="A57" s="412" t="s">
        <v>1191</v>
      </c>
      <c r="B57" s="418">
        <f>84.8+46.7</f>
        <v>131.5</v>
      </c>
      <c r="C57" s="403" t="s">
        <v>1184</v>
      </c>
    </row>
    <row r="58" spans="1:3">
      <c r="A58" s="412" t="s">
        <v>1189</v>
      </c>
      <c r="B58" s="418">
        <f>36.5+18.3</f>
        <v>54.8</v>
      </c>
      <c r="C58" s="403" t="s">
        <v>1184</v>
      </c>
    </row>
    <row r="59" spans="1:3">
      <c r="A59" s="412" t="s">
        <v>1185</v>
      </c>
      <c r="B59" s="418">
        <f>215+114.4</f>
        <v>329.4</v>
      </c>
      <c r="C59" s="403" t="s">
        <v>1184</v>
      </c>
    </row>
    <row r="60" spans="1:3">
      <c r="A60" s="412" t="s">
        <v>1186</v>
      </c>
      <c r="B60" s="453">
        <v>21.5</v>
      </c>
      <c r="C60" s="403" t="s">
        <v>1184</v>
      </c>
    </row>
    <row r="61" spans="1:3">
      <c r="A61" s="412" t="s">
        <v>1187</v>
      </c>
      <c r="B61" s="418">
        <f>30.4+60</f>
        <v>90.4</v>
      </c>
      <c r="C61" s="403" t="s">
        <v>1184</v>
      </c>
    </row>
    <row r="62" spans="1:3" ht="15.75" thickBot="1">
      <c r="A62" s="413" t="s">
        <v>1193</v>
      </c>
      <c r="B62" s="419">
        <v>40.200000000000003</v>
      </c>
      <c r="C62" s="406" t="s">
        <v>1184</v>
      </c>
    </row>
    <row r="63" spans="1:3" ht="18" thickBot="1">
      <c r="A63" s="2440" t="s">
        <v>1194</v>
      </c>
      <c r="B63" s="2441"/>
      <c r="C63" s="407" t="s">
        <v>202</v>
      </c>
    </row>
    <row r="64" spans="1:3">
      <c r="A64" s="411" t="s">
        <v>1188</v>
      </c>
      <c r="B64" s="418">
        <v>32.53</v>
      </c>
      <c r="C64" s="400" t="s">
        <v>1176</v>
      </c>
    </row>
    <row r="65" spans="1:3">
      <c r="A65" s="412" t="s">
        <v>1181</v>
      </c>
      <c r="B65" s="418">
        <v>1.88</v>
      </c>
      <c r="C65" s="403" t="s">
        <v>1171</v>
      </c>
    </row>
    <row r="66" spans="1:3">
      <c r="A66" s="412" t="s">
        <v>1182</v>
      </c>
      <c r="B66" s="418">
        <f>B65</f>
        <v>1.88</v>
      </c>
      <c r="C66" s="403" t="s">
        <v>1171</v>
      </c>
    </row>
    <row r="67" spans="1:3">
      <c r="A67" s="412" t="s">
        <v>1183</v>
      </c>
      <c r="B67" s="418">
        <v>34.1</v>
      </c>
      <c r="C67" s="403" t="s">
        <v>1184</v>
      </c>
    </row>
    <row r="68" spans="1:3" ht="15.75" thickBot="1">
      <c r="A68" s="413" t="s">
        <v>1189</v>
      </c>
      <c r="B68" s="419">
        <v>73.7</v>
      </c>
      <c r="C68" s="406" t="s">
        <v>1184</v>
      </c>
    </row>
    <row r="69" spans="1:3" ht="18" thickBot="1">
      <c r="A69" s="2440" t="s">
        <v>1195</v>
      </c>
      <c r="B69" s="2441"/>
      <c r="C69" s="407" t="s">
        <v>202</v>
      </c>
    </row>
    <row r="70" spans="1:3">
      <c r="A70" s="420" t="s">
        <v>1196</v>
      </c>
      <c r="B70" s="415">
        <v>173.89</v>
      </c>
      <c r="C70" s="400" t="s">
        <v>1184</v>
      </c>
    </row>
    <row r="71" spans="1:3">
      <c r="A71" s="412" t="s">
        <v>1197</v>
      </c>
      <c r="B71" s="416">
        <v>19.53</v>
      </c>
      <c r="C71" s="403" t="s">
        <v>1176</v>
      </c>
    </row>
    <row r="72" spans="1:3">
      <c r="A72" s="408" t="s">
        <v>1198</v>
      </c>
      <c r="B72" s="416">
        <v>5.05</v>
      </c>
      <c r="C72" s="403" t="s">
        <v>1184</v>
      </c>
    </row>
    <row r="73" spans="1:3" ht="15.75" thickBot="1">
      <c r="A73" s="950" t="s">
        <v>1199</v>
      </c>
      <c r="B73" s="951">
        <v>11.66</v>
      </c>
      <c r="C73" s="952" t="s">
        <v>1184</v>
      </c>
    </row>
    <row r="74" spans="1:3" ht="39" thickBot="1">
      <c r="A74" s="954" t="s">
        <v>2094</v>
      </c>
      <c r="B74" s="2438" t="s">
        <v>2095</v>
      </c>
      <c r="C74" s="2439"/>
    </row>
    <row r="75" spans="1:3">
      <c r="A75" s="429"/>
      <c r="B75" s="199"/>
      <c r="C75" s="953"/>
    </row>
    <row r="76" spans="1:3">
      <c r="A76" s="429"/>
      <c r="B76" s="199"/>
      <c r="C76" s="953"/>
    </row>
    <row r="77" spans="1:3" ht="18" thickBot="1">
      <c r="A77" s="2448" t="s">
        <v>354</v>
      </c>
      <c r="B77" s="2449"/>
      <c r="C77" s="2450"/>
    </row>
    <row r="78" spans="1:3" ht="18" thickBot="1">
      <c r="A78" s="2440" t="s">
        <v>327</v>
      </c>
      <c r="B78" s="2441"/>
      <c r="C78" s="421" t="s">
        <v>202</v>
      </c>
    </row>
    <row r="79" spans="1:3">
      <c r="A79" s="420" t="s">
        <v>1196</v>
      </c>
      <c r="B79" s="415">
        <f>2587.3+43.54</f>
        <v>2630.84</v>
      </c>
      <c r="C79" s="400" t="s">
        <v>1184</v>
      </c>
    </row>
    <row r="80" spans="1:3">
      <c r="A80" s="412" t="s">
        <v>1197</v>
      </c>
      <c r="B80" s="422">
        <v>159.83699999999999</v>
      </c>
      <c r="C80" s="403" t="s">
        <v>1176</v>
      </c>
    </row>
    <row r="81" spans="1:3">
      <c r="A81" s="408" t="s">
        <v>1198</v>
      </c>
      <c r="B81" s="416">
        <f>15.45+14.57</f>
        <v>30.02</v>
      </c>
      <c r="C81" s="403" t="s">
        <v>1184</v>
      </c>
    </row>
    <row r="82" spans="1:3" ht="15.75" thickBot="1">
      <c r="A82" s="410" t="s">
        <v>1199</v>
      </c>
      <c r="B82" s="417">
        <v>64.319999999999993</v>
      </c>
      <c r="C82" s="406" t="s">
        <v>1184</v>
      </c>
    </row>
    <row r="83" spans="1:3" ht="39" thickBot="1">
      <c r="A83" s="954" t="s">
        <v>2096</v>
      </c>
      <c r="B83" s="2438" t="s">
        <v>2095</v>
      </c>
      <c r="C83" s="2439"/>
    </row>
  </sheetData>
  <mergeCells count="15">
    <mergeCell ref="B83:C83"/>
    <mergeCell ref="A27:B27"/>
    <mergeCell ref="A1:C1"/>
    <mergeCell ref="A2:C2"/>
    <mergeCell ref="A3:B3"/>
    <mergeCell ref="A11:B11"/>
    <mergeCell ref="A19:B19"/>
    <mergeCell ref="A78:B78"/>
    <mergeCell ref="A35:B35"/>
    <mergeCell ref="A44:B44"/>
    <mergeCell ref="A52:B52"/>
    <mergeCell ref="A63:B63"/>
    <mergeCell ref="A69:B69"/>
    <mergeCell ref="A77:C77"/>
    <mergeCell ref="B74:C74"/>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4"/>
  <sheetViews>
    <sheetView workbookViewId="0">
      <selection activeCell="B4" sqref="B4"/>
    </sheetView>
  </sheetViews>
  <sheetFormatPr defaultRowHeight="15"/>
  <cols>
    <col min="1" max="1" width="81.28515625" customWidth="1"/>
    <col min="2" max="2" width="9.85546875" customWidth="1"/>
    <col min="3" max="3" width="9.42578125" customWidth="1"/>
  </cols>
  <sheetData>
    <row r="1" spans="1:3" ht="27" thickBot="1">
      <c r="A1" s="2442" t="s">
        <v>2138</v>
      </c>
      <c r="B1" s="2443"/>
      <c r="C1" s="2444"/>
    </row>
    <row r="2" spans="1:3" ht="18" thickBot="1">
      <c r="A2" s="2440" t="s">
        <v>1169</v>
      </c>
      <c r="B2" s="2441"/>
      <c r="C2" s="397" t="s">
        <v>202</v>
      </c>
    </row>
    <row r="3" spans="1:3">
      <c r="A3" s="398" t="s">
        <v>2139</v>
      </c>
      <c r="B3" s="399">
        <v>280.52999999999997</v>
      </c>
      <c r="C3" s="400" t="s">
        <v>1176</v>
      </c>
    </row>
    <row r="4" spans="1:3">
      <c r="A4" s="398" t="s">
        <v>1709</v>
      </c>
      <c r="B4" s="399">
        <f>60.6*2.08</f>
        <v>126.048</v>
      </c>
      <c r="C4" s="539" t="s">
        <v>1176</v>
      </c>
    </row>
    <row r="5" spans="1:3" ht="45">
      <c r="A5" s="401" t="s">
        <v>1172</v>
      </c>
      <c r="B5" s="402">
        <f>(B24/0.15)*0.55</f>
        <v>33.366666666666667</v>
      </c>
      <c r="C5" s="403" t="s">
        <v>1171</v>
      </c>
    </row>
    <row r="6" spans="1:3" ht="30">
      <c r="A6" s="398" t="s">
        <v>1173</v>
      </c>
      <c r="B6" s="399">
        <f>B5-B24</f>
        <v>24.266666666666666</v>
      </c>
      <c r="C6" s="403" t="s">
        <v>1171</v>
      </c>
    </row>
    <row r="7" spans="1:3">
      <c r="A7" s="398" t="s">
        <v>1174</v>
      </c>
      <c r="B7" s="399">
        <f>B12+B18+B24</f>
        <v>20.998760800517999</v>
      </c>
      <c r="C7" s="403" t="s">
        <v>1171</v>
      </c>
    </row>
    <row r="8" spans="1:3" ht="30">
      <c r="A8" s="401" t="s">
        <v>1177</v>
      </c>
      <c r="B8" s="402">
        <f>B5/0.5</f>
        <v>66.733333333333334</v>
      </c>
      <c r="C8" s="403" t="s">
        <v>1176</v>
      </c>
    </row>
    <row r="9" spans="1:3" ht="15.75" thickBot="1">
      <c r="A9" s="404" t="s">
        <v>1178</v>
      </c>
      <c r="B9" s="405">
        <f>(112.21+70.09)*(0.3+0.15+0.3)</f>
        <v>136.72500000000002</v>
      </c>
      <c r="C9" s="406" t="s">
        <v>1176</v>
      </c>
    </row>
    <row r="10" spans="1:3" ht="18" thickBot="1">
      <c r="A10" s="2440" t="s">
        <v>1710</v>
      </c>
      <c r="B10" s="2441"/>
      <c r="C10" s="407" t="s">
        <v>202</v>
      </c>
    </row>
    <row r="11" spans="1:3">
      <c r="A11" s="452" t="s">
        <v>1188</v>
      </c>
      <c r="B11" s="399">
        <f>66.15+36.75</f>
        <v>102.9</v>
      </c>
      <c r="C11" s="400" t="s">
        <v>1176</v>
      </c>
    </row>
    <row r="12" spans="1:3">
      <c r="A12" s="408" t="s">
        <v>1181</v>
      </c>
      <c r="B12" s="402">
        <f>4.25+7.65-3.08</f>
        <v>8.82</v>
      </c>
      <c r="C12" s="403" t="s">
        <v>1171</v>
      </c>
    </row>
    <row r="13" spans="1:3">
      <c r="A13" s="408" t="s">
        <v>1182</v>
      </c>
      <c r="B13" s="402">
        <f>B12</f>
        <v>8.82</v>
      </c>
      <c r="C13" s="403" t="s">
        <v>1171</v>
      </c>
    </row>
    <row r="14" spans="1:3">
      <c r="A14" s="408" t="s">
        <v>1183</v>
      </c>
      <c r="B14" s="402">
        <v>158.71</v>
      </c>
      <c r="C14" s="403" t="s">
        <v>1184</v>
      </c>
    </row>
    <row r="15" spans="1:3" ht="15.75" thickBot="1">
      <c r="A15" s="408" t="s">
        <v>1185</v>
      </c>
      <c r="B15" s="402">
        <v>105.2</v>
      </c>
      <c r="C15" s="403" t="s">
        <v>1184</v>
      </c>
    </row>
    <row r="16" spans="1:3" ht="18" thickBot="1">
      <c r="A16" s="2440" t="s">
        <v>1711</v>
      </c>
      <c r="B16" s="2441"/>
      <c r="C16" s="407" t="s">
        <v>202</v>
      </c>
    </row>
    <row r="17" spans="1:3">
      <c r="A17" s="452" t="s">
        <v>1712</v>
      </c>
      <c r="B17" s="399">
        <f>1.4*70</f>
        <v>98</v>
      </c>
      <c r="C17" s="400" t="s">
        <v>160</v>
      </c>
    </row>
    <row r="18" spans="1:3">
      <c r="A18" s="408" t="s">
        <v>1181</v>
      </c>
      <c r="B18" s="402">
        <f>70*PI()*0.2^2*1.4/4</f>
        <v>3.0787608005179976</v>
      </c>
      <c r="C18" s="403" t="s">
        <v>1171</v>
      </c>
    </row>
    <row r="19" spans="1:3">
      <c r="A19" s="408" t="s">
        <v>1182</v>
      </c>
      <c r="B19" s="402">
        <f>B18</f>
        <v>3.0787608005179976</v>
      </c>
      <c r="C19" s="403" t="s">
        <v>1171</v>
      </c>
    </row>
    <row r="20" spans="1:3">
      <c r="A20" s="408" t="s">
        <v>1183</v>
      </c>
      <c r="B20" s="402">
        <v>68.400000000000006</v>
      </c>
      <c r="C20" s="403" t="s">
        <v>1184</v>
      </c>
    </row>
    <row r="21" spans="1:3" ht="15.75" thickBot="1">
      <c r="A21" s="408" t="s">
        <v>1185</v>
      </c>
      <c r="B21" s="402">
        <v>361.41</v>
      </c>
      <c r="C21" s="403" t="s">
        <v>1184</v>
      </c>
    </row>
    <row r="22" spans="1:3" ht="18" thickBot="1">
      <c r="A22" s="2440" t="s">
        <v>215</v>
      </c>
      <c r="B22" s="2441"/>
      <c r="C22" s="407" t="s">
        <v>202</v>
      </c>
    </row>
    <row r="23" spans="1:3">
      <c r="A23" s="411" t="s">
        <v>1188</v>
      </c>
      <c r="B23" s="399">
        <v>133</v>
      </c>
      <c r="C23" s="400" t="s">
        <v>1176</v>
      </c>
    </row>
    <row r="24" spans="1:3">
      <c r="A24" s="412" t="s">
        <v>1181</v>
      </c>
      <c r="B24" s="402">
        <v>9.1</v>
      </c>
      <c r="C24" s="403" t="s">
        <v>1171</v>
      </c>
    </row>
    <row r="25" spans="1:3">
      <c r="A25" s="412" t="s">
        <v>1182</v>
      </c>
      <c r="B25" s="402">
        <f>B24</f>
        <v>9.1</v>
      </c>
      <c r="C25" s="403" t="s">
        <v>1171</v>
      </c>
    </row>
    <row r="26" spans="1:3">
      <c r="A26" s="412" t="s">
        <v>1183</v>
      </c>
      <c r="B26" s="402">
        <v>239</v>
      </c>
      <c r="C26" s="403" t="s">
        <v>1184</v>
      </c>
    </row>
    <row r="27" spans="1:3" ht="15.75" thickBot="1">
      <c r="A27" s="412" t="s">
        <v>1185</v>
      </c>
      <c r="B27" s="402">
        <v>483</v>
      </c>
      <c r="C27" s="403" t="s">
        <v>1184</v>
      </c>
    </row>
    <row r="28" spans="1:3" ht="18" thickBot="1">
      <c r="A28" s="2440" t="s">
        <v>226</v>
      </c>
      <c r="B28" s="2441"/>
      <c r="C28" s="414" t="s">
        <v>202</v>
      </c>
    </row>
    <row r="29" spans="1:3">
      <c r="A29" s="411" t="s">
        <v>1188</v>
      </c>
      <c r="B29" s="415">
        <v>101.25</v>
      </c>
      <c r="C29" s="400" t="s">
        <v>1176</v>
      </c>
    </row>
    <row r="30" spans="1:3">
      <c r="A30" s="412" t="s">
        <v>1181</v>
      </c>
      <c r="B30" s="416">
        <v>4.95</v>
      </c>
      <c r="C30" s="403" t="s">
        <v>1171</v>
      </c>
    </row>
    <row r="31" spans="1:3">
      <c r="A31" s="412" t="s">
        <v>1182</v>
      </c>
      <c r="B31" s="416">
        <f>B30</f>
        <v>4.95</v>
      </c>
      <c r="C31" s="403" t="s">
        <v>1171</v>
      </c>
    </row>
    <row r="32" spans="1:3">
      <c r="A32" s="412" t="s">
        <v>1183</v>
      </c>
      <c r="B32" s="402">
        <v>117</v>
      </c>
      <c r="C32" s="403" t="s">
        <v>1184</v>
      </c>
    </row>
    <row r="33" spans="1:3" ht="15.75" thickBot="1">
      <c r="A33" s="1038" t="s">
        <v>1185</v>
      </c>
      <c r="B33" s="1039">
        <v>274.5</v>
      </c>
      <c r="C33" s="409" t="s">
        <v>1184</v>
      </c>
    </row>
    <row r="34" spans="1:3" ht="39" thickBot="1">
      <c r="A34" s="1040" t="s">
        <v>2094</v>
      </c>
      <c r="B34" s="2451" t="s">
        <v>2140</v>
      </c>
      <c r="C34" s="2452"/>
    </row>
  </sheetData>
  <mergeCells count="7">
    <mergeCell ref="B34:C34"/>
    <mergeCell ref="A1:C1"/>
    <mergeCell ref="A2:B2"/>
    <mergeCell ref="A10:B10"/>
    <mergeCell ref="A16:B16"/>
    <mergeCell ref="A22:B22"/>
    <mergeCell ref="A28:B28"/>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93"/>
  <sheetViews>
    <sheetView topLeftCell="A70" workbookViewId="0">
      <selection activeCell="D81" sqref="D81"/>
    </sheetView>
  </sheetViews>
  <sheetFormatPr defaultRowHeight="15"/>
  <cols>
    <col min="2" max="2" width="90" bestFit="1" customWidth="1"/>
    <col min="3" max="3" width="12" customWidth="1"/>
    <col min="5" max="5" width="45.85546875" customWidth="1"/>
  </cols>
  <sheetData>
    <row r="1" spans="1:6" ht="21.75" thickBot="1">
      <c r="A1" s="2453" t="s">
        <v>1057</v>
      </c>
      <c r="B1" s="2454"/>
      <c r="C1" s="2455"/>
    </row>
    <row r="2" spans="1:6" ht="15.75" thickBot="1">
      <c r="A2" s="2456" t="s">
        <v>280</v>
      </c>
      <c r="B2" s="2457"/>
      <c r="C2" s="2458"/>
    </row>
    <row r="3" spans="1:6">
      <c r="A3" s="391">
        <v>1</v>
      </c>
      <c r="B3" s="1057" t="s">
        <v>281</v>
      </c>
      <c r="C3" s="1058" t="s">
        <v>282</v>
      </c>
      <c r="E3" s="491"/>
      <c r="F3" s="493"/>
    </row>
    <row r="4" spans="1:6">
      <c r="A4" s="392">
        <v>2</v>
      </c>
      <c r="B4" s="1059" t="s">
        <v>283</v>
      </c>
      <c r="C4" s="1060" t="s">
        <v>1058</v>
      </c>
      <c r="E4" s="491"/>
      <c r="F4" s="493"/>
    </row>
    <row r="5" spans="1:6">
      <c r="A5" s="392">
        <v>3</v>
      </c>
      <c r="B5" s="1059" t="s">
        <v>285</v>
      </c>
      <c r="C5" s="1060" t="s">
        <v>1059</v>
      </c>
      <c r="E5" s="491"/>
      <c r="F5" s="493"/>
    </row>
    <row r="6" spans="1:6">
      <c r="A6" s="392">
        <v>4</v>
      </c>
      <c r="B6" s="1059" t="s">
        <v>1060</v>
      </c>
      <c r="C6" s="1060" t="s">
        <v>1061</v>
      </c>
      <c r="E6" s="491"/>
      <c r="F6" s="493"/>
    </row>
    <row r="7" spans="1:6">
      <c r="A7" s="392">
        <v>5</v>
      </c>
      <c r="B7" s="1059" t="s">
        <v>1062</v>
      </c>
      <c r="C7" s="1060" t="s">
        <v>287</v>
      </c>
      <c r="E7" s="491"/>
      <c r="F7" s="493"/>
    </row>
    <row r="8" spans="1:6">
      <c r="A8" s="392">
        <v>6</v>
      </c>
      <c r="B8" s="1059" t="s">
        <v>1063</v>
      </c>
      <c r="C8" s="1060" t="s">
        <v>287</v>
      </c>
      <c r="E8" s="491"/>
      <c r="F8" s="493"/>
    </row>
    <row r="9" spans="1:6">
      <c r="A9" s="392">
        <v>7</v>
      </c>
      <c r="B9" s="1059" t="s">
        <v>1064</v>
      </c>
      <c r="C9" s="1060" t="s">
        <v>286</v>
      </c>
      <c r="E9" s="491"/>
      <c r="F9" s="493"/>
    </row>
    <row r="10" spans="1:6">
      <c r="A10" s="392">
        <v>8</v>
      </c>
      <c r="B10" s="1059" t="s">
        <v>1065</v>
      </c>
      <c r="C10" s="1060" t="s">
        <v>287</v>
      </c>
      <c r="E10" s="491"/>
      <c r="F10" s="493"/>
    </row>
    <row r="11" spans="1:6">
      <c r="A11" s="392">
        <v>9</v>
      </c>
      <c r="B11" s="1061" t="s">
        <v>1066</v>
      </c>
      <c r="C11" s="1060" t="s">
        <v>1067</v>
      </c>
      <c r="E11" s="491"/>
      <c r="F11" s="493"/>
    </row>
    <row r="12" spans="1:6">
      <c r="A12" s="392">
        <v>10</v>
      </c>
      <c r="B12" s="1059" t="s">
        <v>1068</v>
      </c>
      <c r="C12" s="1060" t="s">
        <v>1069</v>
      </c>
      <c r="E12" s="491"/>
      <c r="F12" s="493"/>
    </row>
    <row r="13" spans="1:6">
      <c r="A13" s="392">
        <v>11</v>
      </c>
      <c r="B13" s="1059" t="s">
        <v>1070</v>
      </c>
      <c r="C13" s="1060" t="s">
        <v>1071</v>
      </c>
      <c r="E13" s="494"/>
      <c r="F13" s="493"/>
    </row>
    <row r="14" spans="1:6">
      <c r="A14" s="392">
        <v>12</v>
      </c>
      <c r="B14" s="1059" t="s">
        <v>1072</v>
      </c>
      <c r="C14" s="1060" t="s">
        <v>1073</v>
      </c>
      <c r="E14" s="491"/>
      <c r="F14" s="493"/>
    </row>
    <row r="15" spans="1:6">
      <c r="A15" s="392">
        <v>13</v>
      </c>
      <c r="B15" s="1059" t="s">
        <v>1074</v>
      </c>
      <c r="C15" s="1060" t="s">
        <v>1075</v>
      </c>
      <c r="E15" s="491"/>
      <c r="F15" s="493"/>
    </row>
    <row r="16" spans="1:6">
      <c r="A16" s="392">
        <v>14</v>
      </c>
      <c r="B16" s="1059" t="s">
        <v>1076</v>
      </c>
      <c r="C16" s="1060" t="s">
        <v>1077</v>
      </c>
      <c r="E16" s="491"/>
      <c r="F16" s="493"/>
    </row>
    <row r="17" spans="1:6">
      <c r="A17" s="392">
        <v>15</v>
      </c>
      <c r="B17" s="1059" t="s">
        <v>1078</v>
      </c>
      <c r="C17" s="1060" t="s">
        <v>1079</v>
      </c>
      <c r="E17" s="491"/>
      <c r="F17" s="493"/>
    </row>
    <row r="18" spans="1:6" ht="17.25" customHeight="1">
      <c r="A18" s="392">
        <v>16</v>
      </c>
      <c r="B18" s="1059" t="s">
        <v>1080</v>
      </c>
      <c r="C18" s="1060" t="s">
        <v>286</v>
      </c>
      <c r="E18" s="491"/>
      <c r="F18" s="493"/>
    </row>
    <row r="19" spans="1:6">
      <c r="A19" s="392">
        <v>17</v>
      </c>
      <c r="B19" s="1059" t="s">
        <v>1081</v>
      </c>
      <c r="C19" s="1060" t="s">
        <v>282</v>
      </c>
      <c r="E19" s="491"/>
      <c r="F19" s="493"/>
    </row>
    <row r="20" spans="1:6">
      <c r="A20" s="392">
        <v>18</v>
      </c>
      <c r="B20" s="1059" t="s">
        <v>1082</v>
      </c>
      <c r="C20" s="495" t="s">
        <v>289</v>
      </c>
      <c r="E20" s="491" t="s">
        <v>1588</v>
      </c>
      <c r="F20" s="493"/>
    </row>
    <row r="21" spans="1:6">
      <c r="A21" s="392">
        <v>19</v>
      </c>
      <c r="B21" s="1059" t="s">
        <v>1587</v>
      </c>
      <c r="C21" s="495" t="s">
        <v>282</v>
      </c>
      <c r="E21" s="491"/>
      <c r="F21" s="493"/>
    </row>
    <row r="22" spans="1:6">
      <c r="A22" s="392">
        <v>20</v>
      </c>
      <c r="B22" s="1059" t="s">
        <v>1083</v>
      </c>
      <c r="C22" s="495" t="s">
        <v>286</v>
      </c>
      <c r="E22" s="491"/>
      <c r="F22" s="493"/>
    </row>
    <row r="23" spans="1:6">
      <c r="A23" s="392">
        <v>21</v>
      </c>
      <c r="B23" s="1059" t="s">
        <v>1084</v>
      </c>
      <c r="C23" s="1060" t="s">
        <v>287</v>
      </c>
      <c r="E23" s="491"/>
      <c r="F23" s="493"/>
    </row>
    <row r="24" spans="1:6">
      <c r="A24" s="392">
        <v>22</v>
      </c>
      <c r="B24" s="1059" t="s">
        <v>1085</v>
      </c>
      <c r="C24" s="1060" t="s">
        <v>287</v>
      </c>
      <c r="E24" s="491" t="s">
        <v>1592</v>
      </c>
      <c r="F24" s="493"/>
    </row>
    <row r="25" spans="1:6">
      <c r="A25" s="392">
        <v>23</v>
      </c>
      <c r="B25" s="1059" t="s">
        <v>1086</v>
      </c>
      <c r="C25" s="1060" t="s">
        <v>1087</v>
      </c>
      <c r="E25" s="491"/>
      <c r="F25" s="493"/>
    </row>
    <row r="26" spans="1:6">
      <c r="A26" s="392">
        <v>24</v>
      </c>
      <c r="B26" s="1059" t="s">
        <v>1088</v>
      </c>
      <c r="C26" s="1060" t="s">
        <v>286</v>
      </c>
      <c r="E26" s="491"/>
      <c r="F26" s="493"/>
    </row>
    <row r="27" spans="1:6">
      <c r="A27" s="392">
        <v>25</v>
      </c>
      <c r="B27" s="1059" t="s">
        <v>1089</v>
      </c>
      <c r="C27" s="1060" t="s">
        <v>1090</v>
      </c>
      <c r="E27" s="491"/>
      <c r="F27" s="493"/>
    </row>
    <row r="28" spans="1:6">
      <c r="A28" s="392">
        <v>26</v>
      </c>
      <c r="B28" s="1059" t="s">
        <v>1091</v>
      </c>
      <c r="C28" s="1060" t="s">
        <v>286</v>
      </c>
      <c r="E28" s="491"/>
      <c r="F28" s="493"/>
    </row>
    <row r="29" spans="1:6">
      <c r="A29" s="392">
        <v>27</v>
      </c>
      <c r="B29" s="1059" t="s">
        <v>1092</v>
      </c>
      <c r="C29" s="1060" t="s">
        <v>287</v>
      </c>
      <c r="E29" s="491"/>
      <c r="F29" s="493"/>
    </row>
    <row r="30" spans="1:6">
      <c r="A30" s="392">
        <v>28</v>
      </c>
      <c r="B30" s="1059" t="s">
        <v>1093</v>
      </c>
      <c r="C30" s="1060" t="s">
        <v>1067</v>
      </c>
      <c r="E30" s="491"/>
      <c r="F30" s="493"/>
    </row>
    <row r="31" spans="1:6">
      <c r="A31" s="392">
        <v>29</v>
      </c>
      <c r="B31" s="1059" t="s">
        <v>1094</v>
      </c>
      <c r="C31" s="1060" t="s">
        <v>287</v>
      </c>
      <c r="E31" s="491"/>
      <c r="F31" s="493"/>
    </row>
    <row r="32" spans="1:6">
      <c r="A32" s="392">
        <v>30</v>
      </c>
      <c r="B32" s="1059" t="s">
        <v>1095</v>
      </c>
      <c r="C32" s="1060" t="s">
        <v>286</v>
      </c>
      <c r="E32" s="491"/>
      <c r="F32" s="493"/>
    </row>
    <row r="33" spans="1:6">
      <c r="A33" s="392">
        <v>31</v>
      </c>
      <c r="B33" s="1059" t="s">
        <v>1096</v>
      </c>
      <c r="C33" s="1060" t="s">
        <v>1067</v>
      </c>
      <c r="E33" s="491"/>
      <c r="F33" s="493"/>
    </row>
    <row r="34" spans="1:6">
      <c r="A34" s="392">
        <v>32</v>
      </c>
      <c r="B34" s="1059" t="s">
        <v>1097</v>
      </c>
      <c r="C34" s="1060" t="s">
        <v>288</v>
      </c>
      <c r="E34" s="491"/>
      <c r="F34" s="493"/>
    </row>
    <row r="35" spans="1:6">
      <c r="A35" s="392">
        <v>33</v>
      </c>
      <c r="B35" s="1059" t="s">
        <v>1098</v>
      </c>
      <c r="C35" s="1060" t="s">
        <v>287</v>
      </c>
      <c r="E35" s="491"/>
      <c r="F35" s="493"/>
    </row>
    <row r="36" spans="1:6" ht="15.75" customHeight="1">
      <c r="A36" s="392">
        <v>34</v>
      </c>
      <c r="B36" s="1059" t="s">
        <v>1099</v>
      </c>
      <c r="C36" s="1060" t="s">
        <v>284</v>
      </c>
      <c r="E36" s="491"/>
      <c r="F36" s="493"/>
    </row>
    <row r="37" spans="1:6">
      <c r="A37" s="392">
        <v>35</v>
      </c>
      <c r="B37" s="1059" t="s">
        <v>1100</v>
      </c>
      <c r="C37" s="1060" t="s">
        <v>288</v>
      </c>
    </row>
    <row r="38" spans="1:6">
      <c r="A38" s="392">
        <v>36</v>
      </c>
      <c r="B38" s="1059" t="s">
        <v>1101</v>
      </c>
      <c r="C38" s="1060" t="s">
        <v>1067</v>
      </c>
    </row>
    <row r="39" spans="1:6">
      <c r="A39" s="392">
        <v>37</v>
      </c>
      <c r="B39" s="1059" t="s">
        <v>1102</v>
      </c>
      <c r="C39" s="1060" t="s">
        <v>287</v>
      </c>
      <c r="E39" t="s">
        <v>1515</v>
      </c>
    </row>
    <row r="40" spans="1:6">
      <c r="A40" s="392">
        <v>38</v>
      </c>
      <c r="B40" s="1059" t="s">
        <v>290</v>
      </c>
      <c r="C40" s="1060" t="s">
        <v>288</v>
      </c>
      <c r="E40" t="s">
        <v>1516</v>
      </c>
    </row>
    <row r="41" spans="1:6">
      <c r="A41" s="392">
        <v>39</v>
      </c>
      <c r="B41" s="1061" t="s">
        <v>249</v>
      </c>
      <c r="C41" s="1063" t="s">
        <v>287</v>
      </c>
      <c r="E41" t="s">
        <v>1494</v>
      </c>
    </row>
    <row r="42" spans="1:6">
      <c r="A42" s="392">
        <v>40</v>
      </c>
      <c r="B42" s="1059" t="s">
        <v>1608</v>
      </c>
      <c r="C42" s="1060" t="s">
        <v>1103</v>
      </c>
    </row>
    <row r="43" spans="1:6">
      <c r="A43" s="392">
        <v>41</v>
      </c>
      <c r="B43" s="1059" t="s">
        <v>1609</v>
      </c>
      <c r="C43" s="1060" t="s">
        <v>1104</v>
      </c>
    </row>
    <row r="44" spans="1:6">
      <c r="A44" s="392">
        <v>42</v>
      </c>
      <c r="B44" s="1059" t="s">
        <v>1105</v>
      </c>
      <c r="C44" s="1060" t="s">
        <v>1106</v>
      </c>
    </row>
    <row r="45" spans="1:6">
      <c r="A45" s="392">
        <v>43</v>
      </c>
      <c r="B45" s="1059" t="s">
        <v>1107</v>
      </c>
      <c r="C45" s="1060" t="s">
        <v>1108</v>
      </c>
    </row>
    <row r="46" spans="1:6">
      <c r="A46" s="392">
        <v>44</v>
      </c>
      <c r="B46" s="1059" t="s">
        <v>1109</v>
      </c>
      <c r="C46" s="1060" t="s">
        <v>1110</v>
      </c>
    </row>
    <row r="47" spans="1:6">
      <c r="A47" s="392">
        <v>45</v>
      </c>
      <c r="B47" s="1059" t="s">
        <v>1111</v>
      </c>
      <c r="C47" s="1060" t="s">
        <v>1112</v>
      </c>
    </row>
    <row r="48" spans="1:6">
      <c r="A48" s="392">
        <v>46</v>
      </c>
      <c r="B48" s="1059" t="s">
        <v>1113</v>
      </c>
      <c r="C48" s="1060" t="s">
        <v>1069</v>
      </c>
    </row>
    <row r="49" spans="1:7">
      <c r="A49" s="392">
        <v>47</v>
      </c>
      <c r="B49" s="1059" t="s">
        <v>1114</v>
      </c>
      <c r="C49" s="1063" t="s">
        <v>1071</v>
      </c>
    </row>
    <row r="50" spans="1:7">
      <c r="A50" s="392">
        <v>48</v>
      </c>
      <c r="B50" s="1061" t="s">
        <v>1115</v>
      </c>
      <c r="C50" s="1063" t="s">
        <v>287</v>
      </c>
    </row>
    <row r="51" spans="1:7">
      <c r="A51" s="392">
        <v>49</v>
      </c>
      <c r="B51" s="1059" t="s">
        <v>1116</v>
      </c>
      <c r="C51" s="1060" t="s">
        <v>1061</v>
      </c>
      <c r="E51" s="423"/>
    </row>
    <row r="52" spans="1:7">
      <c r="A52" s="392">
        <v>50</v>
      </c>
      <c r="B52" s="1061" t="s">
        <v>1117</v>
      </c>
      <c r="C52" s="1063" t="s">
        <v>1118</v>
      </c>
    </row>
    <row r="53" spans="1:7">
      <c r="A53" s="392">
        <v>51</v>
      </c>
      <c r="B53" s="1059" t="s">
        <v>1119</v>
      </c>
      <c r="C53" s="1060" t="s">
        <v>1120</v>
      </c>
    </row>
    <row r="54" spans="1:7">
      <c r="A54" s="392">
        <v>52</v>
      </c>
      <c r="B54" s="1059" t="s">
        <v>1121</v>
      </c>
      <c r="C54" s="1060" t="s">
        <v>1122</v>
      </c>
    </row>
    <row r="55" spans="1:7" ht="15.75" thickBot="1">
      <c r="A55" s="393">
        <v>53</v>
      </c>
      <c r="B55" s="1062" t="s">
        <v>1123</v>
      </c>
      <c r="C55" s="1064" t="s">
        <v>287</v>
      </c>
    </row>
    <row r="56" spans="1:7" ht="15.75" thickBot="1">
      <c r="A56" s="2459" t="s">
        <v>1124</v>
      </c>
      <c r="B56" s="2460"/>
      <c r="C56" s="2461"/>
      <c r="D56" s="200"/>
    </row>
    <row r="57" spans="1:7">
      <c r="A57" s="394">
        <v>1</v>
      </c>
      <c r="B57" s="1065" t="s">
        <v>1125</v>
      </c>
      <c r="C57" s="1060" t="s">
        <v>292</v>
      </c>
      <c r="D57" s="396"/>
      <c r="E57" s="489"/>
      <c r="F57" s="490"/>
      <c r="G57" s="20"/>
    </row>
    <row r="58" spans="1:7">
      <c r="A58" s="394">
        <v>2</v>
      </c>
      <c r="B58" s="1066" t="s">
        <v>1126</v>
      </c>
      <c r="C58" s="1063" t="s">
        <v>287</v>
      </c>
      <c r="D58" s="200"/>
      <c r="E58" s="489"/>
      <c r="F58" s="490"/>
      <c r="G58" s="20"/>
    </row>
    <row r="59" spans="1:7">
      <c r="A59" s="394">
        <v>3</v>
      </c>
      <c r="B59" s="1066" t="s">
        <v>247</v>
      </c>
      <c r="C59" s="1063" t="s">
        <v>1120</v>
      </c>
      <c r="E59" s="489"/>
      <c r="F59" s="490"/>
      <c r="G59" s="20"/>
    </row>
    <row r="60" spans="1:7">
      <c r="A60" s="394">
        <v>4</v>
      </c>
      <c r="B60" s="1066" t="s">
        <v>1127</v>
      </c>
      <c r="C60" s="1063" t="s">
        <v>1120</v>
      </c>
      <c r="E60" s="489"/>
      <c r="F60" s="490"/>
      <c r="G60" s="20"/>
    </row>
    <row r="61" spans="1:7">
      <c r="A61" s="394">
        <v>5</v>
      </c>
      <c r="B61" s="1066" t="s">
        <v>1128</v>
      </c>
      <c r="C61" s="1063" t="s">
        <v>1129</v>
      </c>
      <c r="E61" s="489"/>
      <c r="F61" s="490"/>
      <c r="G61" s="20"/>
    </row>
    <row r="62" spans="1:7">
      <c r="A62" s="394">
        <v>6</v>
      </c>
      <c r="B62" s="1066" t="s">
        <v>1130</v>
      </c>
      <c r="C62" s="1063" t="s">
        <v>287</v>
      </c>
      <c r="E62" s="489"/>
      <c r="F62" s="490"/>
      <c r="G62" s="20"/>
    </row>
    <row r="63" spans="1:7">
      <c r="A63" s="394">
        <v>7</v>
      </c>
      <c r="B63" s="1067" t="s">
        <v>1131</v>
      </c>
      <c r="C63" s="1060" t="s">
        <v>1120</v>
      </c>
      <c r="E63" s="489"/>
      <c r="F63" s="490"/>
      <c r="G63" s="20"/>
    </row>
    <row r="64" spans="1:7">
      <c r="A64" s="394">
        <v>8</v>
      </c>
      <c r="B64" s="1067" t="s">
        <v>1132</v>
      </c>
      <c r="C64" s="1060" t="s">
        <v>287</v>
      </c>
      <c r="E64" s="489"/>
      <c r="F64" s="490"/>
      <c r="G64" s="20"/>
    </row>
    <row r="65" spans="1:7">
      <c r="A65" s="394">
        <v>9</v>
      </c>
      <c r="B65" s="1067" t="s">
        <v>1133</v>
      </c>
      <c r="C65" s="1060" t="s">
        <v>287</v>
      </c>
      <c r="E65" s="489"/>
      <c r="F65" s="490"/>
      <c r="G65" s="20"/>
    </row>
    <row r="66" spans="1:7">
      <c r="A66" s="394">
        <v>10</v>
      </c>
      <c r="B66" s="1067" t="s">
        <v>248</v>
      </c>
      <c r="C66" s="1060" t="s">
        <v>1067</v>
      </c>
      <c r="E66" s="489"/>
      <c r="F66" s="490"/>
      <c r="G66" s="20"/>
    </row>
    <row r="67" spans="1:7">
      <c r="A67" s="394">
        <v>11</v>
      </c>
      <c r="B67" s="1067" t="s">
        <v>1134</v>
      </c>
      <c r="C67" s="1060" t="s">
        <v>291</v>
      </c>
      <c r="E67" s="489"/>
      <c r="F67" s="490"/>
      <c r="G67" s="20"/>
    </row>
    <row r="68" spans="1:7">
      <c r="A68" s="394">
        <v>12</v>
      </c>
      <c r="B68" s="1067" t="s">
        <v>1135</v>
      </c>
      <c r="C68" s="1060" t="s">
        <v>1136</v>
      </c>
      <c r="E68" s="489"/>
      <c r="F68" s="490"/>
      <c r="G68" s="20"/>
    </row>
    <row r="69" spans="1:7">
      <c r="A69" s="394">
        <v>13</v>
      </c>
      <c r="B69" s="1067" t="s">
        <v>1137</v>
      </c>
      <c r="C69" s="1060" t="s">
        <v>1138</v>
      </c>
      <c r="E69" s="489"/>
      <c r="F69" s="490"/>
      <c r="G69" s="20"/>
    </row>
    <row r="70" spans="1:7">
      <c r="A70" s="394">
        <v>14</v>
      </c>
      <c r="B70" s="1067" t="s">
        <v>1139</v>
      </c>
      <c r="C70" s="1060" t="s">
        <v>287</v>
      </c>
      <c r="E70" s="491"/>
      <c r="F70" s="490"/>
      <c r="G70" s="20"/>
    </row>
    <row r="71" spans="1:7">
      <c r="A71" s="394">
        <v>15</v>
      </c>
      <c r="B71" s="1067" t="s">
        <v>1140</v>
      </c>
      <c r="C71" s="1060" t="s">
        <v>287</v>
      </c>
    </row>
    <row r="72" spans="1:7">
      <c r="A72" s="394">
        <v>16</v>
      </c>
      <c r="B72" s="1067" t="s">
        <v>1141</v>
      </c>
      <c r="C72" s="1060" t="s">
        <v>287</v>
      </c>
    </row>
    <row r="73" spans="1:7">
      <c r="A73" s="394">
        <v>17</v>
      </c>
      <c r="B73" s="1067" t="s">
        <v>1142</v>
      </c>
      <c r="C73" s="1060" t="s">
        <v>286</v>
      </c>
    </row>
    <row r="74" spans="1:7">
      <c r="A74" s="394">
        <v>18</v>
      </c>
      <c r="B74" s="1067" t="s">
        <v>1143</v>
      </c>
      <c r="C74" s="1060" t="s">
        <v>287</v>
      </c>
    </row>
    <row r="75" spans="1:7">
      <c r="A75" s="394">
        <v>19</v>
      </c>
      <c r="B75" s="1067" t="s">
        <v>1144</v>
      </c>
      <c r="C75" s="1060" t="s">
        <v>286</v>
      </c>
    </row>
    <row r="76" spans="1:7">
      <c r="A76" s="394">
        <v>20</v>
      </c>
      <c r="B76" s="1067" t="s">
        <v>1145</v>
      </c>
      <c r="C76" s="1060" t="s">
        <v>291</v>
      </c>
    </row>
    <row r="77" spans="1:7">
      <c r="A77" s="394">
        <v>21</v>
      </c>
      <c r="B77" s="1067" t="s">
        <v>1146</v>
      </c>
      <c r="C77" s="1060" t="s">
        <v>1120</v>
      </c>
    </row>
    <row r="78" spans="1:7">
      <c r="A78" s="394">
        <v>22</v>
      </c>
      <c r="B78" s="1067" t="s">
        <v>1608</v>
      </c>
      <c r="C78" s="1060" t="s">
        <v>1147</v>
      </c>
    </row>
    <row r="79" spans="1:7">
      <c r="A79" s="394">
        <v>23</v>
      </c>
      <c r="B79" s="1067" t="s">
        <v>1148</v>
      </c>
      <c r="C79" s="1060" t="s">
        <v>1149</v>
      </c>
    </row>
    <row r="80" spans="1:7">
      <c r="A80" s="394">
        <v>24</v>
      </c>
      <c r="B80" s="1067" t="s">
        <v>1109</v>
      </c>
      <c r="C80" s="1060" t="s">
        <v>1150</v>
      </c>
    </row>
    <row r="81" spans="1:3">
      <c r="A81" s="394">
        <v>25</v>
      </c>
      <c r="B81" s="1067" t="s">
        <v>1111</v>
      </c>
      <c r="C81" s="1060" t="s">
        <v>1151</v>
      </c>
    </row>
    <row r="82" spans="1:3">
      <c r="A82" s="394">
        <v>26</v>
      </c>
      <c r="B82" s="1067" t="s">
        <v>1152</v>
      </c>
      <c r="C82" s="1060" t="s">
        <v>1153</v>
      </c>
    </row>
    <row r="83" spans="1:3" ht="15.75" thickBot="1">
      <c r="A83" s="394">
        <v>27</v>
      </c>
      <c r="B83" s="1067" t="s">
        <v>1154</v>
      </c>
      <c r="C83" s="1060" t="s">
        <v>287</v>
      </c>
    </row>
    <row r="84" spans="1:3" ht="15.75" thickBot="1">
      <c r="A84" s="2459" t="s">
        <v>1155</v>
      </c>
      <c r="B84" s="2460"/>
      <c r="C84" s="2461"/>
    </row>
    <row r="85" spans="1:3">
      <c r="A85" s="394">
        <v>1</v>
      </c>
      <c r="B85" s="1068" t="s">
        <v>1156</v>
      </c>
      <c r="C85" s="1063" t="s">
        <v>287</v>
      </c>
    </row>
    <row r="86" spans="1:3">
      <c r="A86" s="394">
        <v>2</v>
      </c>
      <c r="B86" s="1069" t="s">
        <v>1157</v>
      </c>
      <c r="C86" s="1060" t="s">
        <v>293</v>
      </c>
    </row>
    <row r="87" spans="1:3">
      <c r="A87" s="394">
        <v>3</v>
      </c>
      <c r="B87" s="1070" t="s">
        <v>1158</v>
      </c>
      <c r="C87" s="1060" t="s">
        <v>1104</v>
      </c>
    </row>
    <row r="88" spans="1:3">
      <c r="A88" s="394">
        <v>4</v>
      </c>
      <c r="B88" s="1070" t="s">
        <v>1159</v>
      </c>
      <c r="C88" s="1060" t="s">
        <v>293</v>
      </c>
    </row>
    <row r="89" spans="1:3">
      <c r="A89" s="394">
        <v>5</v>
      </c>
      <c r="B89" s="1070" t="s">
        <v>1160</v>
      </c>
      <c r="C89" s="1060" t="s">
        <v>1161</v>
      </c>
    </row>
    <row r="90" spans="1:3">
      <c r="A90" s="394">
        <v>6</v>
      </c>
      <c r="B90" s="1070" t="s">
        <v>1162</v>
      </c>
      <c r="C90" s="1060" t="s">
        <v>1163</v>
      </c>
    </row>
    <row r="91" spans="1:3">
      <c r="A91" s="394">
        <v>7</v>
      </c>
      <c r="B91" s="1070" t="s">
        <v>1164</v>
      </c>
      <c r="C91" s="1060" t="s">
        <v>1165</v>
      </c>
    </row>
    <row r="92" spans="1:3" ht="15.75" thickBot="1">
      <c r="A92" s="395">
        <v>8</v>
      </c>
      <c r="B92" s="1071" t="s">
        <v>1166</v>
      </c>
      <c r="C92" s="1064" t="s">
        <v>1167</v>
      </c>
    </row>
    <row r="93" spans="1:3" ht="39" thickBot="1">
      <c r="A93" s="954"/>
      <c r="B93" s="924" t="s">
        <v>2101</v>
      </c>
      <c r="C93" s="955" t="s">
        <v>2100</v>
      </c>
    </row>
  </sheetData>
  <mergeCells count="4">
    <mergeCell ref="A1:C1"/>
    <mergeCell ref="A2:C2"/>
    <mergeCell ref="A56:C56"/>
    <mergeCell ref="A84:C84"/>
  </mergeCells>
  <conditionalFormatting sqref="F57:F70">
    <cfRule type="uniqueValues" dxfId="0" priority="1"/>
  </conditionalFormatting>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topLeftCell="A79" workbookViewId="0">
      <selection activeCell="F57" sqref="F57"/>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34" t="s">
        <v>1970</v>
      </c>
      <c r="B1" s="547" t="s">
        <v>1366</v>
      </c>
      <c r="C1" s="548"/>
      <c r="D1" s="549"/>
    </row>
    <row r="2" spans="1:4" ht="15" customHeight="1">
      <c r="A2" s="584" t="s">
        <v>1738</v>
      </c>
      <c r="B2" s="60"/>
      <c r="C2" s="329"/>
      <c r="D2" s="553"/>
    </row>
    <row r="3" spans="1:4" ht="16.5" customHeight="1">
      <c r="A3" s="586" t="s">
        <v>1756</v>
      </c>
      <c r="B3" s="585" t="s">
        <v>1763</v>
      </c>
      <c r="C3" s="289"/>
      <c r="D3" s="226"/>
    </row>
    <row r="4" spans="1:4">
      <c r="A4" s="586" t="s">
        <v>1757</v>
      </c>
      <c r="B4" s="585">
        <v>1</v>
      </c>
      <c r="C4" s="289"/>
      <c r="D4" s="551"/>
    </row>
    <row r="5" spans="1:4">
      <c r="A5" s="586" t="s">
        <v>1754</v>
      </c>
      <c r="B5" s="585">
        <v>1</v>
      </c>
      <c r="C5" s="289"/>
      <c r="D5" s="226"/>
    </row>
    <row r="6" spans="1:4">
      <c r="A6" s="586" t="s">
        <v>1753</v>
      </c>
      <c r="B6" s="585">
        <v>1</v>
      </c>
      <c r="C6" s="289"/>
      <c r="D6" s="226"/>
    </row>
    <row r="7" spans="1:4">
      <c r="A7" s="586" t="s">
        <v>1752</v>
      </c>
      <c r="B7" s="585">
        <v>2</v>
      </c>
      <c r="C7" s="289"/>
      <c r="D7" s="551"/>
    </row>
    <row r="8" spans="1:4">
      <c r="A8" s="586" t="s">
        <v>1755</v>
      </c>
      <c r="B8" s="585">
        <v>4</v>
      </c>
      <c r="C8" s="289"/>
      <c r="D8" s="226"/>
    </row>
    <row r="9" spans="1:4" ht="13.5" customHeight="1">
      <c r="A9" s="587" t="s">
        <v>1739</v>
      </c>
      <c r="B9" s="588"/>
      <c r="C9" s="550"/>
      <c r="D9" s="226"/>
    </row>
    <row r="10" spans="1:4">
      <c r="A10" s="586" t="s">
        <v>1786</v>
      </c>
      <c r="B10" s="585">
        <v>1</v>
      </c>
      <c r="C10" s="550"/>
      <c r="D10" s="226"/>
    </row>
    <row r="11" spans="1:4">
      <c r="A11" s="586" t="s">
        <v>1758</v>
      </c>
      <c r="B11" s="585">
        <v>1</v>
      </c>
      <c r="C11" s="550"/>
      <c r="D11" s="552"/>
    </row>
    <row r="12" spans="1:4">
      <c r="A12" s="586" t="s">
        <v>1759</v>
      </c>
      <c r="B12" s="585">
        <v>2</v>
      </c>
      <c r="C12" s="550"/>
      <c r="D12" s="226"/>
    </row>
    <row r="13" spans="1:4">
      <c r="A13" s="586" t="s">
        <v>1765</v>
      </c>
      <c r="B13" s="585">
        <v>2</v>
      </c>
      <c r="C13" s="289"/>
      <c r="D13" s="226"/>
    </row>
    <row r="14" spans="1:4" ht="24.75" customHeight="1">
      <c r="A14" s="586" t="s">
        <v>1764</v>
      </c>
      <c r="B14" s="585">
        <v>3</v>
      </c>
      <c r="C14" s="289"/>
      <c r="D14" s="226"/>
    </row>
    <row r="15" spans="1:4" ht="18.75" customHeight="1">
      <c r="A15" s="586" t="s">
        <v>1760</v>
      </c>
      <c r="B15" s="585">
        <v>2</v>
      </c>
      <c r="C15" s="289"/>
      <c r="D15" s="226"/>
    </row>
    <row r="16" spans="1:4" ht="15" customHeight="1">
      <c r="A16" s="587" t="s">
        <v>1740</v>
      </c>
      <c r="B16" s="588"/>
      <c r="C16" s="289"/>
      <c r="D16" s="226"/>
    </row>
    <row r="17" spans="1:4" ht="22.5" customHeight="1">
      <c r="A17" s="586" t="s">
        <v>1766</v>
      </c>
      <c r="B17" s="585">
        <v>4</v>
      </c>
      <c r="C17" s="289"/>
      <c r="D17" s="226"/>
    </row>
    <row r="18" spans="1:4" ht="21.75" customHeight="1">
      <c r="A18" s="586" t="s">
        <v>1767</v>
      </c>
      <c r="B18" s="585">
        <v>6</v>
      </c>
      <c r="C18" s="289"/>
      <c r="D18" s="226"/>
    </row>
    <row r="19" spans="1:4" ht="21" customHeight="1">
      <c r="A19" s="586" t="s">
        <v>1768</v>
      </c>
      <c r="B19" s="585">
        <v>2</v>
      </c>
      <c r="C19" s="289"/>
      <c r="D19" s="226"/>
    </row>
    <row r="20" spans="1:4" ht="27.75" customHeight="1">
      <c r="A20" s="586" t="s">
        <v>1769</v>
      </c>
      <c r="B20" s="585">
        <v>4</v>
      </c>
      <c r="C20" s="289"/>
      <c r="D20" s="226"/>
    </row>
    <row r="21" spans="1:4" ht="26.25" customHeight="1">
      <c r="A21" s="586" t="s">
        <v>1770</v>
      </c>
      <c r="B21" s="585">
        <v>2</v>
      </c>
      <c r="C21" s="289"/>
      <c r="D21" s="226"/>
    </row>
    <row r="22" spans="1:4" ht="16.5" customHeight="1">
      <c r="A22" s="587" t="s">
        <v>1741</v>
      </c>
      <c r="B22" s="588"/>
      <c r="C22" s="289"/>
      <c r="D22" s="226"/>
    </row>
    <row r="23" spans="1:4">
      <c r="A23" s="586" t="s">
        <v>1771</v>
      </c>
      <c r="B23" s="585" t="s">
        <v>1772</v>
      </c>
      <c r="C23" s="289"/>
      <c r="D23" s="226"/>
    </row>
    <row r="24" spans="1:4">
      <c r="A24" s="586" t="s">
        <v>1773</v>
      </c>
      <c r="B24" s="585">
        <v>1</v>
      </c>
      <c r="C24" s="289"/>
      <c r="D24" s="226"/>
    </row>
    <row r="25" spans="1:4">
      <c r="A25" s="589" t="s">
        <v>1774</v>
      </c>
      <c r="B25" s="590">
        <v>4</v>
      </c>
      <c r="C25" s="289"/>
      <c r="D25" s="226"/>
    </row>
    <row r="26" spans="1:4" ht="16.5" customHeight="1">
      <c r="A26" s="586" t="s">
        <v>1775</v>
      </c>
      <c r="B26" s="585">
        <v>2</v>
      </c>
      <c r="C26" s="289"/>
      <c r="D26" s="226"/>
    </row>
    <row r="27" spans="1:4">
      <c r="A27" s="587" t="s">
        <v>1742</v>
      </c>
      <c r="B27" s="588"/>
      <c r="C27" s="289"/>
      <c r="D27" s="226"/>
    </row>
    <row r="28" spans="1:4">
      <c r="A28" s="589" t="s">
        <v>1762</v>
      </c>
      <c r="B28" s="590" t="s">
        <v>1763</v>
      </c>
      <c r="C28" s="289"/>
      <c r="D28" s="226"/>
    </row>
    <row r="29" spans="1:4">
      <c r="A29" s="587" t="s">
        <v>1743</v>
      </c>
      <c r="B29" s="588"/>
      <c r="C29" s="289"/>
      <c r="D29" s="226"/>
    </row>
    <row r="30" spans="1:4">
      <c r="A30" s="586" t="s">
        <v>1744</v>
      </c>
      <c r="B30" s="588"/>
      <c r="C30" s="289"/>
      <c r="D30" s="226"/>
    </row>
    <row r="31" spans="1:4">
      <c r="A31" s="591" t="s">
        <v>1959</v>
      </c>
      <c r="B31" s="585" t="s">
        <v>1772</v>
      </c>
      <c r="C31" s="289"/>
      <c r="D31" s="226"/>
    </row>
    <row r="32" spans="1:4">
      <c r="A32" s="591" t="s">
        <v>1960</v>
      </c>
      <c r="B32" s="585">
        <v>1</v>
      </c>
      <c r="C32" s="289"/>
      <c r="D32" s="226"/>
    </row>
    <row r="33" spans="1:4">
      <c r="A33" s="592" t="s">
        <v>1962</v>
      </c>
      <c r="B33" s="585">
        <v>3</v>
      </c>
      <c r="C33" s="289"/>
      <c r="D33" s="226"/>
    </row>
    <row r="34" spans="1:4" ht="24.75" customHeight="1">
      <c r="A34" s="586" t="s">
        <v>1745</v>
      </c>
      <c r="B34" s="593"/>
      <c r="C34" s="289"/>
      <c r="D34" s="226"/>
    </row>
    <row r="35" spans="1:4" ht="25.5" customHeight="1">
      <c r="A35" s="586" t="s">
        <v>1961</v>
      </c>
      <c r="B35" s="585">
        <v>3</v>
      </c>
      <c r="C35" s="289"/>
      <c r="D35" s="226"/>
    </row>
    <row r="36" spans="1:4" ht="14.25" customHeight="1">
      <c r="A36" s="586" t="s">
        <v>1963</v>
      </c>
      <c r="B36" s="585">
        <v>10</v>
      </c>
      <c r="C36" s="289"/>
      <c r="D36" s="226"/>
    </row>
    <row r="37" spans="1:4" ht="23.25" customHeight="1">
      <c r="A37" s="586" t="s">
        <v>1776</v>
      </c>
      <c r="B37" s="585">
        <v>3</v>
      </c>
      <c r="C37" s="289"/>
      <c r="D37" s="226"/>
    </row>
    <row r="38" spans="1:4" ht="21.75" customHeight="1">
      <c r="A38" s="586" t="s">
        <v>1746</v>
      </c>
      <c r="B38" s="588"/>
      <c r="C38" s="289"/>
      <c r="D38" s="226"/>
    </row>
    <row r="39" spans="1:4">
      <c r="A39" s="586" t="s">
        <v>1964</v>
      </c>
      <c r="B39" s="585">
        <v>20</v>
      </c>
      <c r="C39" s="289"/>
      <c r="D39" s="226"/>
    </row>
    <row r="40" spans="1:4" ht="28.5" customHeight="1">
      <c r="A40" s="586" t="s">
        <v>1965</v>
      </c>
      <c r="B40" s="585">
        <v>5</v>
      </c>
      <c r="C40" s="289"/>
      <c r="D40" s="226"/>
    </row>
    <row r="41" spans="1:4">
      <c r="A41" s="586" t="s">
        <v>1747</v>
      </c>
      <c r="B41" s="588"/>
      <c r="C41" s="289"/>
      <c r="D41" s="226"/>
    </row>
    <row r="42" spans="1:4">
      <c r="A42" s="586" t="s">
        <v>1966</v>
      </c>
      <c r="B42" s="585">
        <v>5</v>
      </c>
      <c r="C42" s="289"/>
      <c r="D42" s="554"/>
    </row>
    <row r="43" spans="1:4" ht="21" customHeight="1">
      <c r="A43" s="586" t="s">
        <v>1969</v>
      </c>
      <c r="B43" s="585">
        <v>2</v>
      </c>
      <c r="C43" s="289"/>
      <c r="D43" s="226"/>
    </row>
    <row r="44" spans="1:4">
      <c r="A44" s="586" t="s">
        <v>1748</v>
      </c>
      <c r="B44" s="588"/>
      <c r="C44" s="289"/>
      <c r="D44" s="226"/>
    </row>
    <row r="45" spans="1:4">
      <c r="A45" s="586" t="s">
        <v>1967</v>
      </c>
      <c r="B45" s="585" t="s">
        <v>1777</v>
      </c>
      <c r="C45" s="289"/>
      <c r="D45" s="226"/>
    </row>
    <row r="46" spans="1:4" ht="28.5" customHeight="1">
      <c r="A46" s="586" t="s">
        <v>1968</v>
      </c>
      <c r="B46" s="585" t="s">
        <v>1778</v>
      </c>
      <c r="C46" s="289"/>
      <c r="D46" s="226"/>
    </row>
    <row r="47" spans="1:4">
      <c r="A47" s="586" t="s">
        <v>1749</v>
      </c>
      <c r="B47" s="585" t="s">
        <v>1780</v>
      </c>
      <c r="C47" s="289"/>
      <c r="D47" s="226"/>
    </row>
    <row r="48" spans="1:4" ht="24" customHeight="1">
      <c r="A48" s="586" t="s">
        <v>1779</v>
      </c>
      <c r="B48" s="585" t="s">
        <v>1781</v>
      </c>
      <c r="C48" s="289"/>
      <c r="D48" s="226"/>
    </row>
    <row r="49" spans="1:7" ht="15" customHeight="1">
      <c r="A49" s="587" t="s">
        <v>1750</v>
      </c>
      <c r="B49" s="593"/>
      <c r="C49" s="289"/>
      <c r="D49" s="226"/>
    </row>
    <row r="50" spans="1:7">
      <c r="A50" s="586" t="s">
        <v>1782</v>
      </c>
      <c r="B50" s="585" t="s">
        <v>1783</v>
      </c>
      <c r="C50" s="289"/>
      <c r="D50" s="226"/>
    </row>
    <row r="51" spans="1:7">
      <c r="A51" s="586" t="s">
        <v>1784</v>
      </c>
      <c r="B51" s="585" t="s">
        <v>1785</v>
      </c>
      <c r="C51" s="289"/>
      <c r="D51" s="226"/>
    </row>
    <row r="52" spans="1:7">
      <c r="A52" s="587" t="s">
        <v>1751</v>
      </c>
      <c r="B52" s="588"/>
      <c r="C52" s="289"/>
      <c r="D52" s="226"/>
    </row>
    <row r="53" spans="1:7" ht="15.75" thickBot="1">
      <c r="A53" s="594" t="s">
        <v>1761</v>
      </c>
      <c r="B53" s="595" t="s">
        <v>1783</v>
      </c>
      <c r="C53" s="289"/>
      <c r="D53" s="226"/>
    </row>
    <row r="54" spans="1:7">
      <c r="B54" s="546"/>
      <c r="C54" s="289"/>
      <c r="D54" s="226"/>
    </row>
    <row r="55" spans="1:7" ht="24" customHeight="1" thickBot="1">
      <c r="A55" s="569"/>
      <c r="B55" s="555"/>
      <c r="C55" s="289"/>
      <c r="D55" s="226"/>
    </row>
    <row r="56" spans="1:7" ht="18" customHeight="1" thickBot="1">
      <c r="A56" s="2462" t="s">
        <v>1915</v>
      </c>
      <c r="B56" s="2463"/>
      <c r="C56" s="550"/>
      <c r="D56" s="226"/>
      <c r="F56" s="546"/>
      <c r="G56" s="546"/>
    </row>
    <row r="57" spans="1:7" ht="16.5" customHeight="1" thickBot="1">
      <c r="A57" s="2464" t="s">
        <v>1916</v>
      </c>
      <c r="B57" s="2465"/>
      <c r="C57" s="550"/>
      <c r="D57" s="226"/>
      <c r="G57" s="546"/>
    </row>
    <row r="58" spans="1:7" ht="18" customHeight="1" thickBot="1">
      <c r="A58" s="616" t="s">
        <v>1917</v>
      </c>
      <c r="B58" s="617" t="s">
        <v>1918</v>
      </c>
      <c r="C58" s="550"/>
      <c r="D58" s="226"/>
      <c r="G58" s="546"/>
    </row>
    <row r="59" spans="1:7" ht="17.25" customHeight="1" thickBot="1">
      <c r="A59" s="599" t="s">
        <v>1919</v>
      </c>
      <c r="B59" s="618" t="s">
        <v>1920</v>
      </c>
      <c r="C59" s="550"/>
      <c r="D59" s="226"/>
      <c r="G59" s="546"/>
    </row>
    <row r="60" spans="1:7" ht="17.25" customHeight="1" thickBot="1">
      <c r="A60" s="2466" t="s">
        <v>1921</v>
      </c>
      <c r="B60" s="2467"/>
      <c r="C60" s="289"/>
      <c r="D60" s="226"/>
      <c r="F60" s="546"/>
      <c r="G60" s="546"/>
    </row>
    <row r="61" spans="1:7">
      <c r="A61" s="606" t="s">
        <v>1922</v>
      </c>
      <c r="B61" s="607" t="s">
        <v>1923</v>
      </c>
      <c r="C61" s="289"/>
      <c r="D61" s="226"/>
      <c r="F61" s="546"/>
      <c r="G61" s="546"/>
    </row>
    <row r="62" spans="1:7" ht="28.5" customHeight="1" thickBot="1">
      <c r="A62" s="608" t="s">
        <v>1924</v>
      </c>
      <c r="B62" s="609" t="s">
        <v>1925</v>
      </c>
      <c r="C62" s="289"/>
      <c r="D62" s="226"/>
      <c r="G62" s="546"/>
    </row>
    <row r="63" spans="1:7" ht="24.75" customHeight="1" thickBot="1">
      <c r="A63" s="610" t="s">
        <v>1926</v>
      </c>
      <c r="B63" s="609" t="s">
        <v>1923</v>
      </c>
      <c r="C63" s="289"/>
      <c r="D63" s="556"/>
      <c r="G63" s="546"/>
    </row>
    <row r="64" spans="1:7" ht="20.25" customHeight="1" thickBot="1">
      <c r="A64" s="610" t="s">
        <v>1927</v>
      </c>
      <c r="B64" s="609" t="s">
        <v>1923</v>
      </c>
      <c r="C64" s="289"/>
      <c r="D64" s="226"/>
      <c r="G64" s="546"/>
    </row>
    <row r="65" spans="1:7" ht="23.25" customHeight="1" thickBot="1">
      <c r="A65" s="611" t="s">
        <v>1928</v>
      </c>
      <c r="B65" s="609" t="s">
        <v>1929</v>
      </c>
      <c r="C65" s="289"/>
      <c r="D65" s="226"/>
      <c r="G65" s="546"/>
    </row>
    <row r="66" spans="1:7" ht="15.75" thickBot="1">
      <c r="A66" s="610" t="s">
        <v>1930</v>
      </c>
      <c r="B66" s="609" t="s">
        <v>1923</v>
      </c>
      <c r="C66" s="20"/>
      <c r="D66" s="20"/>
      <c r="G66" s="546"/>
    </row>
    <row r="67" spans="1:7" ht="15.75" thickBot="1">
      <c r="A67" s="610" t="s">
        <v>1974</v>
      </c>
      <c r="B67" s="609" t="s">
        <v>1923</v>
      </c>
      <c r="G67" s="546"/>
    </row>
    <row r="68" spans="1:7" ht="15.75" thickBot="1">
      <c r="A68" s="610" t="s">
        <v>1931</v>
      </c>
      <c r="B68" s="596"/>
      <c r="G68" s="546"/>
    </row>
    <row r="69" spans="1:7" ht="15.75" thickBot="1">
      <c r="A69" s="610" t="s">
        <v>1932</v>
      </c>
      <c r="B69" s="609" t="s">
        <v>1929</v>
      </c>
      <c r="G69" s="284"/>
    </row>
    <row r="70" spans="1:7" ht="15.75" thickBot="1">
      <c r="A70" s="610" t="s">
        <v>1933</v>
      </c>
      <c r="B70" s="609" t="s">
        <v>1925</v>
      </c>
      <c r="G70" s="284"/>
    </row>
    <row r="71" spans="1:7" ht="15.75" thickBot="1">
      <c r="A71" s="610" t="s">
        <v>1934</v>
      </c>
      <c r="B71" s="609" t="s">
        <v>1929</v>
      </c>
      <c r="G71" s="284"/>
    </row>
    <row r="72" spans="1:7" ht="15.75" thickBot="1">
      <c r="A72" s="610" t="s">
        <v>1935</v>
      </c>
      <c r="B72" s="596"/>
      <c r="G72" s="284"/>
    </row>
    <row r="73" spans="1:7" ht="15.75" thickBot="1">
      <c r="A73" s="610" t="s">
        <v>1936</v>
      </c>
      <c r="B73" s="609" t="s">
        <v>1937</v>
      </c>
    </row>
    <row r="74" spans="1:7" ht="15.75" thickBot="1">
      <c r="A74" s="610" t="s">
        <v>1938</v>
      </c>
      <c r="B74" s="609" t="s">
        <v>1920</v>
      </c>
    </row>
    <row r="75" spans="1:7" ht="15.75" thickBot="1">
      <c r="A75" s="611" t="s">
        <v>1939</v>
      </c>
      <c r="B75" s="597"/>
    </row>
    <row r="76" spans="1:7" ht="15.75" thickBot="1">
      <c r="A76" s="612" t="s">
        <v>1940</v>
      </c>
      <c r="B76" s="609" t="s">
        <v>1941</v>
      </c>
    </row>
    <row r="77" spans="1:7" ht="15.75" thickBot="1">
      <c r="A77" s="610" t="s">
        <v>1977</v>
      </c>
      <c r="B77" s="609" t="s">
        <v>1942</v>
      </c>
    </row>
    <row r="78" spans="1:7" ht="15.75" thickBot="1">
      <c r="A78" s="612" t="s">
        <v>1943</v>
      </c>
      <c r="B78" s="609" t="s">
        <v>1944</v>
      </c>
    </row>
    <row r="79" spans="1:7" ht="15.75" thickBot="1">
      <c r="A79" s="613" t="s">
        <v>1945</v>
      </c>
      <c r="B79" s="609" t="s">
        <v>1946</v>
      </c>
    </row>
    <row r="80" spans="1:7" ht="15.75" thickBot="1">
      <c r="A80" s="611" t="s">
        <v>1947</v>
      </c>
      <c r="B80" s="596"/>
    </row>
    <row r="81" spans="1:2" ht="15.75" thickBot="1">
      <c r="A81" s="610" t="s">
        <v>1948</v>
      </c>
      <c r="B81" s="609" t="s">
        <v>1929</v>
      </c>
    </row>
    <row r="82" spans="1:2" ht="15.75" thickBot="1">
      <c r="A82" s="614" t="s">
        <v>1949</v>
      </c>
      <c r="B82" s="615" t="s">
        <v>1950</v>
      </c>
    </row>
    <row r="83" spans="1:2" ht="15.75" thickBot="1">
      <c r="A83" s="2466" t="s">
        <v>1740</v>
      </c>
      <c r="B83" s="2467"/>
    </row>
    <row r="84" spans="1:2" ht="15.75" thickBot="1">
      <c r="A84" s="604" t="s">
        <v>1951</v>
      </c>
      <c r="B84" s="605"/>
    </row>
    <row r="85" spans="1:2" ht="15.75" thickBot="1">
      <c r="A85" s="599" t="s">
        <v>1952</v>
      </c>
      <c r="B85" s="600" t="s">
        <v>1920</v>
      </c>
    </row>
    <row r="86" spans="1:2" ht="15.75" thickBot="1">
      <c r="A86" s="599" t="s">
        <v>1953</v>
      </c>
      <c r="B86" s="600" t="s">
        <v>1950</v>
      </c>
    </row>
    <row r="87" spans="1:2" ht="15.75" thickBot="1">
      <c r="A87" s="619" t="s">
        <v>1986</v>
      </c>
      <c r="B87" s="600" t="s">
        <v>1929</v>
      </c>
    </row>
    <row r="88" spans="1:2" ht="15.75" thickBot="1">
      <c r="A88" s="619" t="s">
        <v>1954</v>
      </c>
      <c r="B88" s="598"/>
    </row>
    <row r="89" spans="1:2" ht="15.75" thickBot="1">
      <c r="A89" s="599" t="s">
        <v>1955</v>
      </c>
      <c r="B89" s="600" t="s">
        <v>1923</v>
      </c>
    </row>
    <row r="90" spans="1:2" ht="15.75" thickBot="1">
      <c r="A90" s="599" t="s">
        <v>1956</v>
      </c>
      <c r="B90" s="600" t="s">
        <v>1920</v>
      </c>
    </row>
    <row r="91" spans="1:2" ht="15.75" thickBot="1">
      <c r="A91" s="619" t="s">
        <v>1957</v>
      </c>
      <c r="B91" s="600" t="s">
        <v>1923</v>
      </c>
    </row>
    <row r="92" spans="1:2" ht="15.75" thickBot="1">
      <c r="A92" s="620" t="s">
        <v>1958</v>
      </c>
      <c r="B92" s="621" t="s">
        <v>1920</v>
      </c>
    </row>
  </sheetData>
  <mergeCells count="4">
    <mergeCell ref="A56:B56"/>
    <mergeCell ref="A57:B57"/>
    <mergeCell ref="A60:B60"/>
    <mergeCell ref="A83:B83"/>
  </mergeCell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0"/>
  <sheetViews>
    <sheetView topLeftCell="A13" workbookViewId="0">
      <selection activeCell="E41" sqref="E41"/>
    </sheetView>
  </sheetViews>
  <sheetFormatPr defaultRowHeight="15"/>
  <cols>
    <col min="1" max="1" width="35.28515625" bestFit="1" customWidth="1"/>
    <col min="3" max="3" width="2.140625" customWidth="1"/>
    <col min="4" max="4" width="48.5703125" bestFit="1" customWidth="1"/>
    <col min="5" max="5" width="57.5703125" customWidth="1"/>
    <col min="6" max="6" width="5.28515625" customWidth="1"/>
    <col min="7" max="7" width="8.5703125" bestFit="1" customWidth="1"/>
    <col min="9" max="9" width="12.5703125" customWidth="1"/>
  </cols>
  <sheetData>
    <row r="1" spans="1:7">
      <c r="A1" s="570" t="s">
        <v>1</v>
      </c>
      <c r="B1" s="571" t="s">
        <v>1830</v>
      </c>
      <c r="C1" s="570"/>
      <c r="D1" s="570"/>
      <c r="E1" s="571"/>
      <c r="F1" s="571"/>
      <c r="G1" s="571"/>
    </row>
    <row r="2" spans="1:7">
      <c r="A2" s="570" t="s">
        <v>4</v>
      </c>
      <c r="B2" s="571" t="s">
        <v>635</v>
      </c>
      <c r="C2" s="570"/>
      <c r="D2" s="570"/>
      <c r="E2" s="571"/>
      <c r="F2" s="571"/>
      <c r="G2" s="571"/>
    </row>
    <row r="3" spans="1:7">
      <c r="A3" s="570" t="s">
        <v>2</v>
      </c>
      <c r="B3" s="571" t="s">
        <v>1831</v>
      </c>
      <c r="C3" s="570"/>
      <c r="D3" s="570"/>
      <c r="E3" s="571"/>
      <c r="F3" s="571"/>
      <c r="G3" s="571"/>
    </row>
    <row r="4" spans="1:7">
      <c r="A4" s="570"/>
      <c r="B4" s="572"/>
      <c r="C4" s="570"/>
      <c r="D4" s="570"/>
      <c r="E4" s="571"/>
      <c r="F4" s="571"/>
      <c r="G4" s="571"/>
    </row>
    <row r="5" spans="1:7">
      <c r="A5" s="2471" t="s">
        <v>1832</v>
      </c>
      <c r="B5" s="2471"/>
      <c r="C5" s="2471"/>
      <c r="D5" s="2471"/>
      <c r="E5" s="2471"/>
      <c r="F5" s="2471"/>
      <c r="G5" s="2471"/>
    </row>
    <row r="6" spans="1:7">
      <c r="A6" s="576" t="s">
        <v>1833</v>
      </c>
      <c r="B6" s="577"/>
      <c r="C6" s="557"/>
      <c r="D6" s="576" t="s">
        <v>8</v>
      </c>
      <c r="E6" s="576" t="s">
        <v>1834</v>
      </c>
      <c r="F6" s="576" t="s">
        <v>1835</v>
      </c>
      <c r="G6" s="576" t="s">
        <v>1836</v>
      </c>
    </row>
    <row r="7" spans="1:7">
      <c r="A7" s="580" t="s">
        <v>1837</v>
      </c>
      <c r="B7" s="633">
        <f>'[3]Memória de Dimensionamento'!U32</f>
        <v>1</v>
      </c>
      <c r="C7" s="557"/>
      <c r="D7" s="579" t="s">
        <v>1838</v>
      </c>
      <c r="E7" s="580" t="s">
        <v>1839</v>
      </c>
      <c r="F7" s="579" t="s">
        <v>47</v>
      </c>
      <c r="G7" s="581">
        <f>Lb*Cb*Pt</f>
        <v>19.855000000000004</v>
      </c>
    </row>
    <row r="8" spans="1:7">
      <c r="A8" s="580" t="s">
        <v>1840</v>
      </c>
      <c r="B8" s="633">
        <f>ETE+0.3</f>
        <v>1.3</v>
      </c>
      <c r="C8" s="557"/>
      <c r="D8" s="579" t="s">
        <v>1841</v>
      </c>
      <c r="E8" s="580" t="s">
        <v>1842</v>
      </c>
      <c r="F8" s="579" t="s">
        <v>46</v>
      </c>
      <c r="G8" s="581">
        <f>Lb*Cb</f>
        <v>9.0250000000000004</v>
      </c>
    </row>
    <row r="9" spans="1:7">
      <c r="A9" s="580" t="s">
        <v>1843</v>
      </c>
      <c r="B9" s="633">
        <f>'[3]Memória de Dimensionamento'!AA32</f>
        <v>2</v>
      </c>
      <c r="C9" s="557"/>
      <c r="D9" s="580" t="s">
        <v>1844</v>
      </c>
      <c r="E9" s="580" t="s">
        <v>1842</v>
      </c>
      <c r="F9" s="580" t="s">
        <v>46</v>
      </c>
      <c r="G9" s="581">
        <f>Lb*Cb</f>
        <v>9.0250000000000004</v>
      </c>
    </row>
    <row r="10" spans="1:7">
      <c r="A10" s="580" t="s">
        <v>1845</v>
      </c>
      <c r="B10" s="633">
        <f>'[3]Memória de Dimensionamento'!V60</f>
        <v>1.7000000000000002</v>
      </c>
      <c r="C10" s="557"/>
      <c r="D10" s="579" t="s">
        <v>1846</v>
      </c>
      <c r="E10" s="579" t="s">
        <v>1842</v>
      </c>
      <c r="F10" s="579" t="s">
        <v>46</v>
      </c>
      <c r="G10" s="581">
        <f>Lb*Cb</f>
        <v>9.0250000000000004</v>
      </c>
    </row>
    <row r="11" spans="1:7">
      <c r="A11" s="580" t="s">
        <v>1847</v>
      </c>
      <c r="B11" s="633">
        <f>CiFo+CiFi+3*0.15</f>
        <v>4.1500000000000004</v>
      </c>
      <c r="C11" s="557"/>
      <c r="D11" s="579" t="s">
        <v>1848</v>
      </c>
      <c r="E11" s="580" t="s">
        <v>1849</v>
      </c>
      <c r="F11" s="579" t="s">
        <v>47</v>
      </c>
      <c r="G11" s="581">
        <f>(Lb*Cb*Eb)+(Le*ESGOTO*ADELMO)</f>
        <v>1.4420000000000002</v>
      </c>
    </row>
    <row r="12" spans="1:7">
      <c r="A12" s="580" t="s">
        <v>1850</v>
      </c>
      <c r="B12" s="633">
        <v>1.6</v>
      </c>
      <c r="C12" s="557"/>
      <c r="D12" s="579" t="s">
        <v>1851</v>
      </c>
      <c r="E12" s="580" t="s">
        <v>1852</v>
      </c>
      <c r="F12" s="580" t="s">
        <v>46</v>
      </c>
      <c r="G12" s="581">
        <f>Le*ESGOTO</f>
        <v>5.3950000000000005</v>
      </c>
    </row>
    <row r="13" spans="1:7">
      <c r="A13" s="580" t="s">
        <v>1853</v>
      </c>
      <c r="B13" s="633">
        <v>0.1</v>
      </c>
      <c r="C13" s="557"/>
      <c r="D13" s="579" t="s">
        <v>1854</v>
      </c>
      <c r="E13" s="579" t="s">
        <v>1855</v>
      </c>
      <c r="F13" s="579" t="s">
        <v>70</v>
      </c>
      <c r="G13" s="581">
        <f>(Le*ESGOTO*ADELMO)*70</f>
        <v>37.765000000000008</v>
      </c>
    </row>
    <row r="14" spans="1:7">
      <c r="A14" s="580" t="s">
        <v>1856</v>
      </c>
      <c r="B14" s="633">
        <f>(Le+0.6)</f>
        <v>1.9</v>
      </c>
      <c r="C14" s="557"/>
      <c r="D14" s="579" t="s">
        <v>1857</v>
      </c>
      <c r="E14" s="579" t="s">
        <v>1858</v>
      </c>
      <c r="F14" s="579" t="s">
        <v>46</v>
      </c>
      <c r="G14" s="582">
        <f>((ETE*3)+(ESGOTO*2))*CFO</f>
        <v>18.080000000000002</v>
      </c>
    </row>
    <row r="15" spans="1:7" ht="30">
      <c r="A15" s="580" t="s">
        <v>1859</v>
      </c>
      <c r="B15" s="633">
        <f>ESGOTO+0.6</f>
        <v>4.75</v>
      </c>
      <c r="C15" s="557"/>
      <c r="D15" s="579" t="s">
        <v>1860</v>
      </c>
      <c r="E15" s="583" t="s">
        <v>1861</v>
      </c>
      <c r="F15" s="579" t="s">
        <v>46</v>
      </c>
      <c r="G15" s="582">
        <f>(((ETE*4)+(CiFo*2)+(CiFi*2))*CFO)+(ETE*(CiFo+CiFi))+(PI()*KKKKKK*Hch*4)</f>
        <v>24.955928947446203</v>
      </c>
    </row>
    <row r="16" spans="1:7">
      <c r="A16" s="580" t="s">
        <v>1862</v>
      </c>
      <c r="B16" s="633">
        <v>0.1</v>
      </c>
      <c r="C16" s="557"/>
      <c r="D16" s="579" t="s">
        <v>1863</v>
      </c>
      <c r="E16" s="579" t="s">
        <v>1864</v>
      </c>
      <c r="F16" s="579" t="s">
        <v>46</v>
      </c>
      <c r="G16" s="582">
        <f>(((PI()*(KKKKKK+0.1)^2)/4)*Hch)*4</f>
        <v>0.61575216010359934</v>
      </c>
    </row>
    <row r="17" spans="1:9">
      <c r="A17" s="580" t="s">
        <v>1865</v>
      </c>
      <c r="B17" s="633">
        <f>Le</f>
        <v>1.3</v>
      </c>
      <c r="C17" s="557"/>
      <c r="D17" s="627" t="s">
        <v>2015</v>
      </c>
      <c r="E17" s="624" t="s">
        <v>1867</v>
      </c>
      <c r="F17" s="579" t="s">
        <v>1649</v>
      </c>
      <c r="G17" s="582">
        <v>4</v>
      </c>
    </row>
    <row r="18" spans="1:9">
      <c r="A18" s="580" t="s">
        <v>1868</v>
      </c>
      <c r="B18" s="633">
        <f>ESGOTO</f>
        <v>4.1500000000000004</v>
      </c>
      <c r="C18" s="557"/>
      <c r="D18" s="2472" t="s">
        <v>1869</v>
      </c>
      <c r="E18" s="2473" t="s">
        <v>1870</v>
      </c>
      <c r="F18" s="2472" t="s">
        <v>47</v>
      </c>
      <c r="G18" s="2474">
        <f>(Lb*Cb*Pt)-(Lb*Cb*Eb)-(Le*ESGOTO*(CFO+ADELMO))-(((PI()*(KKKKKK+0.2)^2)/4)*4)</f>
        <v>7.7703807017025346</v>
      </c>
    </row>
    <row r="19" spans="1:9">
      <c r="A19" s="580" t="s">
        <v>1871</v>
      </c>
      <c r="B19" s="633">
        <v>0.4</v>
      </c>
      <c r="C19" s="557"/>
      <c r="D19" s="2472"/>
      <c r="E19" s="2473"/>
      <c r="F19" s="2472"/>
      <c r="G19" s="2474"/>
    </row>
    <row r="20" spans="1:9">
      <c r="A20" s="580" t="s">
        <v>1872</v>
      </c>
      <c r="B20" s="633">
        <v>0.6</v>
      </c>
      <c r="C20" s="557"/>
      <c r="D20" s="579" t="s">
        <v>1873</v>
      </c>
      <c r="E20" s="579" t="s">
        <v>1874</v>
      </c>
      <c r="F20" s="580" t="s">
        <v>47</v>
      </c>
      <c r="G20" s="581">
        <f>G7-G18</f>
        <v>12.084619298297469</v>
      </c>
    </row>
    <row r="21" spans="1:9">
      <c r="A21" s="580" t="s">
        <v>1875</v>
      </c>
      <c r="B21" s="633">
        <f>Hch+ADELMO+CFO+Eb</f>
        <v>2.2000000000000002</v>
      </c>
      <c r="C21" s="557"/>
      <c r="D21" s="579" t="s">
        <v>1876</v>
      </c>
      <c r="E21" s="579" t="s">
        <v>1842</v>
      </c>
      <c r="F21" s="579" t="s">
        <v>46</v>
      </c>
      <c r="G21" s="581">
        <f>Lb*Cb</f>
        <v>9.0250000000000004</v>
      </c>
      <c r="I21" s="632" t="s">
        <v>2013</v>
      </c>
    </row>
    <row r="22" spans="1:9">
      <c r="A22" s="580" t="s">
        <v>1877</v>
      </c>
      <c r="B22" s="633">
        <v>0.8</v>
      </c>
      <c r="C22" s="557"/>
      <c r="D22" s="579" t="s">
        <v>1878</v>
      </c>
      <c r="E22" s="579" t="s">
        <v>1879</v>
      </c>
      <c r="F22" s="579" t="s">
        <v>47</v>
      </c>
      <c r="G22" s="582">
        <f>0.1*0.1*1.7*3</f>
        <v>5.1000000000000004E-2</v>
      </c>
    </row>
    <row r="23" spans="1:9">
      <c r="A23" s="557"/>
      <c r="B23" s="557"/>
      <c r="C23" s="557"/>
      <c r="D23" s="579" t="s">
        <v>1880</v>
      </c>
      <c r="E23" s="579" t="s">
        <v>1881</v>
      </c>
      <c r="F23" s="579" t="s">
        <v>47</v>
      </c>
      <c r="G23" s="579">
        <f>ETE*CiFi*ACF</f>
        <v>1.3600000000000003</v>
      </c>
      <c r="I23" s="632" t="s">
        <v>2012</v>
      </c>
    </row>
    <row r="24" spans="1:9">
      <c r="D24" s="573"/>
      <c r="E24" s="573"/>
      <c r="F24" s="574"/>
      <c r="G24" s="575"/>
    </row>
    <row r="25" spans="1:9">
      <c r="A25" s="2470" t="s">
        <v>1882</v>
      </c>
      <c r="B25" s="2470"/>
      <c r="C25" s="2470"/>
      <c r="D25" s="2470"/>
      <c r="E25" s="2470"/>
      <c r="F25" s="2470"/>
      <c r="G25" s="2470"/>
    </row>
    <row r="26" spans="1:9">
      <c r="A26" s="576" t="s">
        <v>1833</v>
      </c>
      <c r="B26" s="577"/>
      <c r="C26" s="557"/>
      <c r="D26" s="576" t="s">
        <v>8</v>
      </c>
      <c r="E26" s="576" t="s">
        <v>1834</v>
      </c>
      <c r="F26" s="576" t="s">
        <v>1835</v>
      </c>
      <c r="G26" s="576" t="s">
        <v>1836</v>
      </c>
    </row>
    <row r="27" spans="1:9">
      <c r="A27" s="577" t="s">
        <v>1883</v>
      </c>
      <c r="B27" s="578">
        <f>'[3]Memória de Dimensionamento'!H75</f>
        <v>1.8</v>
      </c>
      <c r="C27" s="557"/>
      <c r="D27" s="627" t="s">
        <v>1838</v>
      </c>
      <c r="E27" s="580" t="s">
        <v>1884</v>
      </c>
      <c r="F27" s="627" t="s">
        <v>47</v>
      </c>
      <c r="G27" s="581">
        <f>((PI()*(DIs+0.2)^2)/4)*Pts</f>
        <v>9.1106186954104</v>
      </c>
    </row>
    <row r="28" spans="1:9">
      <c r="A28" s="577" t="s">
        <v>1885</v>
      </c>
      <c r="B28" s="578">
        <f>DIs+0.4</f>
        <v>2.2000000000000002</v>
      </c>
      <c r="C28" s="557"/>
      <c r="D28" s="627" t="s">
        <v>1886</v>
      </c>
      <c r="E28" s="580" t="s">
        <v>1887</v>
      </c>
      <c r="F28" s="627" t="s">
        <v>46</v>
      </c>
      <c r="G28" s="581">
        <f>(((PI()*(DIs+0.2))*(0.2*3)))*2</f>
        <v>7.5398223686155044</v>
      </c>
    </row>
    <row r="29" spans="1:9">
      <c r="A29" s="577" t="s">
        <v>1888</v>
      </c>
      <c r="B29" s="578">
        <f>'[3]Memória de Dimensionamento'!M75</f>
        <v>2.4</v>
      </c>
      <c r="C29" s="557"/>
      <c r="D29" s="627" t="s">
        <v>1889</v>
      </c>
      <c r="E29" s="580" t="s">
        <v>1890</v>
      </c>
      <c r="F29" s="580" t="s">
        <v>46</v>
      </c>
      <c r="G29" s="581">
        <f>(PI()*(DIs+0.4)^2)/4</f>
        <v>3.8013271108436504</v>
      </c>
    </row>
    <row r="30" spans="1:9" ht="30">
      <c r="A30" s="577" t="s">
        <v>1891</v>
      </c>
      <c r="B30" s="578">
        <v>0.1</v>
      </c>
      <c r="C30" s="557"/>
      <c r="D30" s="627" t="s">
        <v>1892</v>
      </c>
      <c r="E30" s="644" t="s">
        <v>1893</v>
      </c>
      <c r="F30" s="627" t="s">
        <v>47</v>
      </c>
      <c r="G30" s="581">
        <f>(((PI()*(DIs+0.2))*(0.2*0.2)))*2+(((PI()*(DIs+0.2)^2)/4)*Ets)</f>
        <v>0.81681408993334625</v>
      </c>
    </row>
    <row r="31" spans="1:9" ht="30">
      <c r="A31" s="577" t="s">
        <v>1894</v>
      </c>
      <c r="B31" s="578">
        <v>0.4</v>
      </c>
      <c r="C31" s="557"/>
      <c r="D31" s="640" t="s">
        <v>1895</v>
      </c>
      <c r="E31" s="641" t="s">
        <v>1896</v>
      </c>
      <c r="F31" s="642" t="s">
        <v>1649</v>
      </c>
      <c r="G31" s="643">
        <f>ROUNDUP((4466/25)*((PI()*(DIs+0.2)^2)/4)*His,0)</f>
        <v>1347</v>
      </c>
    </row>
    <row r="32" spans="1:9" ht="30">
      <c r="A32" s="577" t="s">
        <v>1897</v>
      </c>
      <c r="B32" s="578">
        <v>0.6</v>
      </c>
      <c r="C32" s="557"/>
      <c r="D32" s="640" t="s">
        <v>1898</v>
      </c>
      <c r="E32" s="641" t="s">
        <v>1899</v>
      </c>
      <c r="F32" s="642" t="s">
        <v>47</v>
      </c>
      <c r="G32" s="643">
        <f>(1.72/4466)*G31</f>
        <v>0.51877295118674427</v>
      </c>
    </row>
    <row r="33" spans="1:7">
      <c r="A33" s="577" t="s">
        <v>1900</v>
      </c>
      <c r="B33" s="578">
        <f>His+Ets+Hcs</f>
        <v>2.9</v>
      </c>
      <c r="C33" s="557"/>
      <c r="D33" s="627" t="s">
        <v>1854</v>
      </c>
      <c r="E33" s="628" t="s">
        <v>1901</v>
      </c>
      <c r="F33" s="627" t="s">
        <v>70</v>
      </c>
      <c r="G33" s="581">
        <f>(((PI()*(DIs+0.4)^2)/4)*Ets)*70</f>
        <v>26.609289775905555</v>
      </c>
    </row>
    <row r="34" spans="1:7">
      <c r="A34" s="557"/>
      <c r="B34" s="557"/>
      <c r="C34" s="557"/>
      <c r="D34" s="627" t="s">
        <v>1860</v>
      </c>
      <c r="E34" s="627" t="s">
        <v>1902</v>
      </c>
      <c r="F34" s="627" t="s">
        <v>46</v>
      </c>
      <c r="G34" s="629">
        <f>(PI()*Dcs*Hcs)</f>
        <v>0.75398223686155041</v>
      </c>
    </row>
    <row r="35" spans="1:7">
      <c r="A35" s="630" t="s">
        <v>2041</v>
      </c>
      <c r="B35" s="557"/>
      <c r="C35" s="557"/>
      <c r="D35" s="627" t="s">
        <v>1863</v>
      </c>
      <c r="E35" s="627" t="s">
        <v>1903</v>
      </c>
      <c r="F35" s="627" t="s">
        <v>46</v>
      </c>
      <c r="G35" s="629">
        <f>(PI()*(Dcs+0.1)*Hcs)</f>
        <v>0.87964594300514209</v>
      </c>
    </row>
    <row r="36" spans="1:7">
      <c r="A36" s="557" t="s">
        <v>2042</v>
      </c>
      <c r="B36" s="557"/>
      <c r="C36" s="557"/>
      <c r="D36" s="627" t="s">
        <v>1866</v>
      </c>
      <c r="E36" s="627" t="s">
        <v>1904</v>
      </c>
      <c r="F36" s="627" t="s">
        <v>1649</v>
      </c>
      <c r="G36" s="629">
        <v>1</v>
      </c>
    </row>
    <row r="37" spans="1:7" ht="30">
      <c r="A37" s="645" t="s">
        <v>2044</v>
      </c>
      <c r="B37" s="557"/>
      <c r="C37" s="557"/>
      <c r="D37" s="640" t="s">
        <v>497</v>
      </c>
      <c r="E37" s="641" t="s">
        <v>1905</v>
      </c>
      <c r="F37" s="642" t="s">
        <v>57</v>
      </c>
      <c r="G37" s="643">
        <f>(64.587/4466)*G31</f>
        <v>19.480225929243172</v>
      </c>
    </row>
    <row r="38" spans="1:7" ht="30">
      <c r="A38" s="557"/>
      <c r="B38" s="557"/>
      <c r="C38" s="557"/>
      <c r="D38" s="640" t="s">
        <v>1906</v>
      </c>
      <c r="E38" s="641" t="s">
        <v>1905</v>
      </c>
      <c r="F38" s="642" t="s">
        <v>57</v>
      </c>
      <c r="G38" s="643">
        <f>(64.587/4466)*G31</f>
        <v>19.480225929243172</v>
      </c>
    </row>
    <row r="39" spans="1:7" ht="15.75" thickBot="1">
      <c r="A39" s="557"/>
      <c r="B39" s="557"/>
      <c r="C39" s="557"/>
      <c r="D39" s="627" t="s">
        <v>1907</v>
      </c>
      <c r="E39" s="628" t="s">
        <v>1908</v>
      </c>
      <c r="F39" s="627" t="s">
        <v>47</v>
      </c>
      <c r="G39" s="581">
        <f>((PI()*DIs^2)/4)*0.3</f>
        <v>0.76340701482231976</v>
      </c>
    </row>
    <row r="40" spans="1:7" ht="39.75" customHeight="1" thickBot="1">
      <c r="D40" s="2434" t="s">
        <v>2099</v>
      </c>
      <c r="E40" s="2435"/>
      <c r="F40" s="2468" t="s">
        <v>2100</v>
      </c>
      <c r="G40" s="2469"/>
    </row>
  </sheetData>
  <mergeCells count="8">
    <mergeCell ref="D40:E40"/>
    <mergeCell ref="F40:G40"/>
    <mergeCell ref="A25:G25"/>
    <mergeCell ref="A5:G5"/>
    <mergeCell ref="D18:D19"/>
    <mergeCell ref="E18:E19"/>
    <mergeCell ref="F18:F19"/>
    <mergeCell ref="G18:G19"/>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38"/>
  <sheetViews>
    <sheetView tabSelected="1" view="pageBreakPreview" topLeftCell="A7" zoomScaleNormal="90" zoomScaleSheetLayoutView="100" workbookViewId="0">
      <selection activeCell="H48" sqref="H48"/>
    </sheetView>
  </sheetViews>
  <sheetFormatPr defaultRowHeight="15"/>
  <cols>
    <col min="1" max="1" width="16.42578125" customWidth="1"/>
    <col min="2" max="2" width="16.28515625" customWidth="1"/>
    <col min="3" max="3" width="80" customWidth="1"/>
    <col min="5" max="5" width="11.140625" hidden="1" customWidth="1"/>
    <col min="6" max="6" width="11.140625" customWidth="1"/>
    <col min="7" max="7" width="9.28515625" customWidth="1"/>
    <col min="8" max="8" width="9.140625" hidden="1" customWidth="1"/>
    <col min="9" max="9" width="11.28515625" customWidth="1"/>
    <col min="10" max="10" width="13" customWidth="1"/>
    <col min="11" max="11" width="17" hidden="1" customWidth="1"/>
    <col min="12" max="12" width="33.28515625" hidden="1" customWidth="1"/>
    <col min="13" max="13" width="30.140625" hidden="1" customWidth="1"/>
    <col min="14" max="14" width="10" hidden="1" customWidth="1"/>
    <col min="15" max="15" width="10.28515625" hidden="1" customWidth="1"/>
    <col min="16" max="16" width="0" hidden="1" customWidth="1"/>
    <col min="24" max="24" width="11.7109375" customWidth="1"/>
  </cols>
  <sheetData>
    <row r="1" spans="1:24" ht="30" hidden="1">
      <c r="A1" s="1715"/>
      <c r="B1" s="1715"/>
      <c r="C1" s="1716"/>
      <c r="D1" s="21"/>
      <c r="E1" s="21"/>
      <c r="F1" s="21"/>
      <c r="G1" s="1715"/>
      <c r="H1" s="1715"/>
      <c r="I1" s="1717"/>
      <c r="J1" s="19"/>
      <c r="W1" s="1823"/>
    </row>
    <row r="2" spans="1:24" ht="15.75" hidden="1">
      <c r="A2" s="1201"/>
      <c r="B2" s="1201"/>
      <c r="C2" s="123"/>
      <c r="D2" s="123"/>
      <c r="E2" s="123"/>
      <c r="F2" s="123"/>
      <c r="G2" s="123"/>
      <c r="H2" s="123"/>
      <c r="I2" s="123"/>
      <c r="J2" s="19"/>
    </row>
    <row r="3" spans="1:24" ht="15.75" hidden="1">
      <c r="A3" s="1201"/>
      <c r="B3" s="1201"/>
      <c r="C3" s="1904"/>
      <c r="D3" s="1904"/>
      <c r="E3" s="1904"/>
      <c r="F3" s="1904"/>
      <c r="G3" s="1904"/>
      <c r="H3" s="1904"/>
      <c r="I3" s="1904"/>
      <c r="J3" s="19"/>
    </row>
    <row r="4" spans="1:24" ht="15.75" hidden="1">
      <c r="A4" s="1201"/>
      <c r="B4" s="1201"/>
      <c r="C4" s="1904"/>
      <c r="D4" s="1904"/>
      <c r="E4" s="1904"/>
      <c r="F4" s="1904"/>
      <c r="G4" s="1904"/>
      <c r="H4" s="1904"/>
      <c r="I4" s="1904"/>
      <c r="J4" s="19"/>
    </row>
    <row r="5" spans="1:24" ht="15.75" hidden="1">
      <c r="A5" s="1201"/>
      <c r="B5" s="1201"/>
      <c r="C5" s="1904"/>
      <c r="D5" s="1904"/>
      <c r="E5" s="1904"/>
      <c r="F5" s="1904"/>
      <c r="G5" s="1904"/>
      <c r="H5" s="1904"/>
      <c r="I5" s="1904"/>
      <c r="J5" s="19"/>
    </row>
    <row r="6" spans="1:24" ht="27" hidden="1">
      <c r="A6" s="21"/>
      <c r="B6" s="21"/>
      <c r="C6" s="1718"/>
      <c r="D6" s="22"/>
      <c r="E6" s="22"/>
      <c r="F6" s="22"/>
      <c r="G6" s="22"/>
      <c r="H6" s="22"/>
      <c r="I6" s="19"/>
      <c r="J6" s="19"/>
    </row>
    <row r="7" spans="1:24" ht="6.75" customHeight="1"/>
    <row r="8" spans="1:24" ht="109.5" customHeight="1" thickBot="1">
      <c r="A8" s="1906"/>
      <c r="B8" s="1906"/>
      <c r="C8" s="1906"/>
      <c r="D8" s="1906"/>
      <c r="E8" s="1906"/>
      <c r="F8" s="1906"/>
      <c r="G8" s="1906"/>
      <c r="H8" s="1906"/>
      <c r="I8" s="1906"/>
      <c r="J8" s="1906"/>
    </row>
    <row r="9" spans="1:24" ht="17.25" customHeight="1">
      <c r="A9" s="316" t="s">
        <v>0</v>
      </c>
      <c r="B9" s="1905" t="s">
        <v>2234</v>
      </c>
      <c r="C9" s="1905"/>
      <c r="D9" s="1905"/>
      <c r="E9" s="26"/>
      <c r="F9" s="26"/>
      <c r="G9" s="25"/>
      <c r="H9" s="27"/>
      <c r="I9" s="1284"/>
      <c r="J9" s="45"/>
      <c r="U9" s="99"/>
      <c r="W9" s="1823"/>
      <c r="X9" s="1824"/>
    </row>
    <row r="10" spans="1:24">
      <c r="A10" s="317" t="s">
        <v>1</v>
      </c>
      <c r="B10" s="1881" t="s">
        <v>1530</v>
      </c>
      <c r="C10" s="1881"/>
      <c r="D10" s="1"/>
      <c r="E10" s="2"/>
      <c r="F10" s="2"/>
      <c r="G10" s="1"/>
      <c r="H10" s="313"/>
      <c r="I10" s="1285"/>
      <c r="J10" s="177"/>
      <c r="U10" s="99"/>
      <c r="W10" s="1823"/>
      <c r="X10" s="1825"/>
    </row>
    <row r="11" spans="1:24">
      <c r="A11" s="317" t="s">
        <v>2</v>
      </c>
      <c r="B11" s="1881" t="s">
        <v>2180</v>
      </c>
      <c r="C11" s="1881"/>
      <c r="D11" s="1"/>
      <c r="E11" s="2"/>
      <c r="F11" s="2"/>
      <c r="G11" s="1"/>
      <c r="H11" s="313"/>
      <c r="I11" s="319" t="s">
        <v>3</v>
      </c>
      <c r="J11" s="320">
        <v>0.2223</v>
      </c>
      <c r="U11" s="99"/>
      <c r="W11" t="s">
        <v>3</v>
      </c>
      <c r="X11" s="1825">
        <v>0.2223</v>
      </c>
    </row>
    <row r="12" spans="1:24">
      <c r="A12" s="317" t="s">
        <v>4</v>
      </c>
      <c r="B12" s="1881" t="s">
        <v>635</v>
      </c>
      <c r="C12" s="1881"/>
      <c r="D12" s="1"/>
      <c r="E12" s="2"/>
      <c r="F12" s="2"/>
      <c r="G12" s="1"/>
      <c r="H12" s="313"/>
      <c r="I12" s="321"/>
      <c r="J12" s="1286"/>
      <c r="U12" s="99"/>
      <c r="W12" s="1823"/>
      <c r="X12" s="1824"/>
    </row>
    <row r="13" spans="1:24" ht="16.5" thickBot="1">
      <c r="A13" s="318" t="s">
        <v>5</v>
      </c>
      <c r="B13" s="1722" t="s">
        <v>628</v>
      </c>
      <c r="C13" s="1723" t="s">
        <v>2277</v>
      </c>
      <c r="D13" s="1724"/>
      <c r="E13" s="1725"/>
      <c r="F13" s="1725"/>
      <c r="G13" s="1726"/>
      <c r="H13" s="1727"/>
      <c r="I13" s="1728" t="s">
        <v>43</v>
      </c>
      <c r="J13" s="1729" t="s">
        <v>1724</v>
      </c>
      <c r="U13" s="99"/>
      <c r="W13" s="1823" t="s">
        <v>43</v>
      </c>
      <c r="X13" t="s">
        <v>1724</v>
      </c>
    </row>
    <row r="14" spans="1:24" ht="3.75" customHeight="1" thickBot="1"/>
    <row r="15" spans="1:24" ht="45.75" thickBot="1">
      <c r="A15" s="351" t="s">
        <v>6</v>
      </c>
      <c r="B15" s="350" t="s">
        <v>7</v>
      </c>
      <c r="C15" s="352" t="s">
        <v>8</v>
      </c>
      <c r="D15" s="350" t="s">
        <v>9</v>
      </c>
      <c r="E15" s="353" t="s">
        <v>10</v>
      </c>
      <c r="F15" s="353" t="s">
        <v>2478</v>
      </c>
      <c r="G15" s="350" t="s">
        <v>11</v>
      </c>
      <c r="H15" s="354" t="s">
        <v>11</v>
      </c>
      <c r="I15" s="354" t="s">
        <v>2179</v>
      </c>
      <c r="J15" s="355" t="s">
        <v>12</v>
      </c>
      <c r="L15" s="120"/>
      <c r="U15" s="99" t="s">
        <v>10</v>
      </c>
      <c r="V15" t="s">
        <v>11</v>
      </c>
      <c r="W15" s="1822" t="s">
        <v>2179</v>
      </c>
      <c r="X15" s="1822" t="s">
        <v>12</v>
      </c>
    </row>
    <row r="16" spans="1:24" ht="14.25" customHeight="1">
      <c r="A16" s="356">
        <v>1</v>
      </c>
      <c r="B16" s="357"/>
      <c r="C16" s="358" t="s">
        <v>177</v>
      </c>
      <c r="D16" s="359"/>
      <c r="E16" s="360"/>
      <c r="F16" s="360"/>
      <c r="G16" s="359"/>
      <c r="H16" s="361"/>
      <c r="I16" s="361"/>
      <c r="J16" s="362"/>
      <c r="K16" s="516" t="s">
        <v>457</v>
      </c>
      <c r="L16" s="516"/>
      <c r="U16" s="99"/>
      <c r="W16" s="1822"/>
      <c r="X16" s="1822"/>
    </row>
    <row r="17" spans="1:24">
      <c r="A17" s="1400" t="s">
        <v>14</v>
      </c>
      <c r="B17" s="1318" t="s">
        <v>128</v>
      </c>
      <c r="C17" s="1311" t="s">
        <v>120</v>
      </c>
      <c r="D17" s="1319" t="s">
        <v>55</v>
      </c>
      <c r="E17" s="1320">
        <f>K17</f>
        <v>80240.959999999992</v>
      </c>
      <c r="F17" s="1320">
        <f>VLOOKUP(B17,'CADERNO DE COMPOSIÇÃO'!$A$8:$J$15448,10,FALSE)</f>
        <v>80240.959999999992</v>
      </c>
      <c r="G17" s="1372">
        <f>IF(OR(E17&lt;=0)," ",TRUNC(H17,2))</f>
        <v>1</v>
      </c>
      <c r="H17" s="1373">
        <v>1</v>
      </c>
      <c r="I17" s="1374">
        <f>TRUNC(F17*(1+$J$11),2)</f>
        <v>98078.52</v>
      </c>
      <c r="J17" s="77">
        <f>TRUNC(I17*G17,2)</f>
        <v>98078.52</v>
      </c>
      <c r="K17" s="97">
        <f>'COMP CIVIL'!F20</f>
        <v>80240.959999999992</v>
      </c>
      <c r="L17" s="121"/>
      <c r="Q17" t="str">
        <f>IF(F17&gt;U17,"CONFERIR","ok")</f>
        <v>ok</v>
      </c>
      <c r="R17" t="str">
        <f>IF(G17&gt;V17,"CONFERIR","ok")</f>
        <v>ok</v>
      </c>
      <c r="S17" t="str">
        <f>IF(I17&gt;W17,"CONFERIR","ok")</f>
        <v>ok</v>
      </c>
      <c r="T17" t="str">
        <f>IF(J17&gt;X17,"CONFERIR","ok")</f>
        <v>ok</v>
      </c>
      <c r="U17" s="1821">
        <v>80240.959999999992</v>
      </c>
      <c r="V17" s="1822">
        <v>1</v>
      </c>
      <c r="W17" s="1822">
        <v>98078.52</v>
      </c>
      <c r="X17" s="1822">
        <v>98078.52</v>
      </c>
    </row>
    <row r="18" spans="1:24" ht="15.75" thickBot="1">
      <c r="A18" s="1092"/>
      <c r="B18" s="931"/>
      <c r="C18" s="1031"/>
      <c r="D18" s="1032"/>
      <c r="E18" s="1073"/>
      <c r="F18" s="1073"/>
      <c r="G18" s="1033"/>
      <c r="H18" s="1034"/>
      <c r="I18" s="1422" t="s">
        <v>15</v>
      </c>
      <c r="J18" s="1035">
        <f>TRUNC(SUM(J17:J17),2)</f>
        <v>98078.52</v>
      </c>
      <c r="K18" s="15"/>
      <c r="L18" s="121"/>
      <c r="Q18" t="str">
        <f t="shared" ref="Q18:Q81" si="0">IF(F18&gt;U18,"CONFERIR","ok")</f>
        <v>ok</v>
      </c>
      <c r="R18" t="str">
        <f t="shared" ref="R18:R81" si="1">IF(G18&gt;V18,"CONFERIR","ok")</f>
        <v>ok</v>
      </c>
      <c r="S18" t="str">
        <f t="shared" ref="S18:S81" si="2">IF(I18&gt;W18,"CONFERIR","ok")</f>
        <v>ok</v>
      </c>
      <c r="T18" t="str">
        <f t="shared" ref="T18:T81" si="3">IF(J18&gt;X18,"CONFERIR","ok")</f>
        <v>ok</v>
      </c>
      <c r="U18" s="99"/>
      <c r="W18" s="1825" t="s">
        <v>15</v>
      </c>
      <c r="X18" s="1822">
        <v>98078.52</v>
      </c>
    </row>
    <row r="19" spans="1:24" ht="14.25" customHeight="1">
      <c r="A19" s="1425">
        <v>2</v>
      </c>
      <c r="B19" s="1426"/>
      <c r="C19" s="1427" t="s">
        <v>13</v>
      </c>
      <c r="D19" s="1428"/>
      <c r="E19" s="1429"/>
      <c r="F19" s="1429"/>
      <c r="G19" s="1430"/>
      <c r="H19" s="1431"/>
      <c r="I19" s="1431"/>
      <c r="J19" s="1432"/>
      <c r="K19" s="516" t="s">
        <v>457</v>
      </c>
      <c r="L19" s="506" t="s">
        <v>1362</v>
      </c>
      <c r="Q19" t="str">
        <f t="shared" si="0"/>
        <v>ok</v>
      </c>
      <c r="R19" t="str">
        <f t="shared" si="1"/>
        <v>ok</v>
      </c>
      <c r="S19" t="str">
        <f t="shared" si="2"/>
        <v>ok</v>
      </c>
      <c r="T19" t="str">
        <f t="shared" si="3"/>
        <v>ok</v>
      </c>
      <c r="U19" s="99"/>
      <c r="W19" s="1822"/>
      <c r="X19" s="1822"/>
    </row>
    <row r="20" spans="1:24" ht="20.25" customHeight="1">
      <c r="A20" s="1400" t="s">
        <v>16</v>
      </c>
      <c r="B20" s="1318" t="s">
        <v>132</v>
      </c>
      <c r="C20" s="1311" t="s">
        <v>45</v>
      </c>
      <c r="D20" s="1319" t="s">
        <v>46</v>
      </c>
      <c r="E20" s="1320">
        <f>K20</f>
        <v>524.04999999999995</v>
      </c>
      <c r="F20" s="1320">
        <f>VLOOKUP(B20,'CADERNO DE COMPOSIÇÃO'!$A$8:$J$15448,10,FALSE)</f>
        <v>521.70000000000005</v>
      </c>
      <c r="G20" s="1372">
        <f t="shared" ref="G20:G33" si="4">IF(OR(E20&lt;=0)," ",TRUNC(H20,2))</f>
        <v>12.5</v>
      </c>
      <c r="H20" s="1373">
        <v>12.5</v>
      </c>
      <c r="I20" s="1374">
        <f t="shared" ref="I20:I33" si="5">TRUNC(F20*(1+$J$11),2)</f>
        <v>637.66999999999996</v>
      </c>
      <c r="J20" s="77">
        <f t="shared" ref="J20:J33" si="6">TRUNC(I20*G20,2)</f>
        <v>7970.87</v>
      </c>
      <c r="K20" s="543">
        <f>'COMP CIVIL'!F37</f>
        <v>524.04999999999995</v>
      </c>
      <c r="L20" s="220"/>
      <c r="Q20" t="str">
        <f t="shared" si="0"/>
        <v>ok</v>
      </c>
      <c r="R20" t="str">
        <f t="shared" si="1"/>
        <v>ok</v>
      </c>
      <c r="S20" t="str">
        <f t="shared" si="2"/>
        <v>ok</v>
      </c>
      <c r="T20" t="str">
        <f t="shared" si="3"/>
        <v>ok</v>
      </c>
      <c r="U20" s="1821">
        <v>524.04999999999995</v>
      </c>
      <c r="V20" s="1822">
        <v>12.5</v>
      </c>
      <c r="W20" s="1822">
        <v>640.54</v>
      </c>
      <c r="X20" s="1822">
        <v>8006.75</v>
      </c>
    </row>
    <row r="21" spans="1:24" ht="43.5" customHeight="1">
      <c r="A21" s="1400" t="s">
        <v>17</v>
      </c>
      <c r="B21" s="1318">
        <v>98525</v>
      </c>
      <c r="C21" s="1311" t="s">
        <v>404</v>
      </c>
      <c r="D21" s="1319" t="s">
        <v>46</v>
      </c>
      <c r="E21" s="1320">
        <v>0.36</v>
      </c>
      <c r="F21" s="1320">
        <f>VLOOKUP(B21,'CADERNO DE COMPOSIÇÃO'!$A$8:$J$15448,10,FALSE)</f>
        <v>0.35</v>
      </c>
      <c r="G21" s="1372">
        <f t="shared" si="4"/>
        <v>1499.19</v>
      </c>
      <c r="H21" s="1375">
        <v>1499.19</v>
      </c>
      <c r="I21" s="1374">
        <f t="shared" si="5"/>
        <v>0.42</v>
      </c>
      <c r="J21" s="77">
        <f t="shared" si="6"/>
        <v>629.65</v>
      </c>
      <c r="K21" s="15"/>
      <c r="L21" s="121"/>
      <c r="M21" s="179">
        <f>1499.19*0.2*0.4+40.02+12.08*0.4+21</f>
        <v>185.78720000000001</v>
      </c>
      <c r="Q21" t="str">
        <f t="shared" si="0"/>
        <v>ok</v>
      </c>
      <c r="R21" t="str">
        <f t="shared" si="1"/>
        <v>ok</v>
      </c>
      <c r="S21" t="str">
        <f t="shared" si="2"/>
        <v>ok</v>
      </c>
      <c r="T21" t="str">
        <f t="shared" si="3"/>
        <v>ok</v>
      </c>
      <c r="U21" s="1821">
        <v>0.36</v>
      </c>
      <c r="V21" s="1822">
        <v>1499.19</v>
      </c>
      <c r="W21" s="1822">
        <v>0.44</v>
      </c>
      <c r="X21" s="1822">
        <v>659.64</v>
      </c>
    </row>
    <row r="22" spans="1:24" ht="42.75">
      <c r="A22" s="1400" t="s">
        <v>68</v>
      </c>
      <c r="B22" s="1318">
        <v>100981</v>
      </c>
      <c r="C22" s="1311" t="s">
        <v>1637</v>
      </c>
      <c r="D22" s="1319" t="s">
        <v>47</v>
      </c>
      <c r="E22" s="1320">
        <v>8.32</v>
      </c>
      <c r="F22" s="1320">
        <f>VLOOKUP(B22,'CADERNO DE COMPOSIÇÃO'!$A$8:$J$15448,10,FALSE)</f>
        <v>8.2899999999999991</v>
      </c>
      <c r="G22" s="1372">
        <f t="shared" si="4"/>
        <v>171.26</v>
      </c>
      <c r="H22" s="1373">
        <v>171.26</v>
      </c>
      <c r="I22" s="1374">
        <f t="shared" si="5"/>
        <v>10.130000000000001</v>
      </c>
      <c r="J22" s="77">
        <f t="shared" si="6"/>
        <v>1734.86</v>
      </c>
      <c r="K22" s="540" t="s">
        <v>2093</v>
      </c>
      <c r="L22" s="386" t="s">
        <v>2092</v>
      </c>
      <c r="M22" s="54"/>
      <c r="Q22" t="str">
        <f t="shared" si="0"/>
        <v>ok</v>
      </c>
      <c r="R22" t="str">
        <f t="shared" si="1"/>
        <v>ok</v>
      </c>
      <c r="S22" t="str">
        <f t="shared" si="2"/>
        <v>ok</v>
      </c>
      <c r="T22" t="str">
        <f t="shared" si="3"/>
        <v>ok</v>
      </c>
      <c r="U22" s="1821">
        <v>8.32</v>
      </c>
      <c r="V22" s="1822">
        <v>171.26</v>
      </c>
      <c r="W22" s="1822">
        <v>10.16</v>
      </c>
      <c r="X22" s="1822">
        <v>1740</v>
      </c>
    </row>
    <row r="23" spans="1:24" ht="30" customHeight="1">
      <c r="A23" s="1400" t="s">
        <v>124</v>
      </c>
      <c r="B23" s="1318">
        <v>95875</v>
      </c>
      <c r="C23" s="1311" t="s">
        <v>1638</v>
      </c>
      <c r="D23" s="1319" t="s">
        <v>1639</v>
      </c>
      <c r="E23" s="1320">
        <v>2.2799999999999998</v>
      </c>
      <c r="F23" s="1320">
        <f>VLOOKUP(B23,'CADERNO DE COMPOSIÇÃO'!$A$8:$J$15448,10,FALSE)</f>
        <v>2.27</v>
      </c>
      <c r="G23" s="1372">
        <f t="shared" si="4"/>
        <v>5573.4</v>
      </c>
      <c r="H23" s="1373">
        <v>5573.4</v>
      </c>
      <c r="I23" s="1374">
        <f t="shared" si="5"/>
        <v>2.77</v>
      </c>
      <c r="J23" s="77">
        <f t="shared" si="6"/>
        <v>15438.31</v>
      </c>
      <c r="K23" s="97">
        <f>185.78*30</f>
        <v>5573.4</v>
      </c>
      <c r="L23" s="1909" t="s">
        <v>2141</v>
      </c>
      <c r="M23" s="1909"/>
      <c r="N23" s="1907" t="s">
        <v>2142</v>
      </c>
      <c r="O23" s="1907"/>
      <c r="P23" s="1907"/>
      <c r="Q23" t="str">
        <f t="shared" si="0"/>
        <v>ok</v>
      </c>
      <c r="R23" t="str">
        <f t="shared" si="1"/>
        <v>ok</v>
      </c>
      <c r="S23" t="str">
        <f t="shared" si="2"/>
        <v>ok</v>
      </c>
      <c r="T23" t="str">
        <f t="shared" si="3"/>
        <v>ok</v>
      </c>
      <c r="U23" s="1821">
        <v>2.2799999999999998</v>
      </c>
      <c r="V23" s="1822">
        <v>5573.4</v>
      </c>
      <c r="W23" s="1822">
        <v>2.78</v>
      </c>
      <c r="X23" s="1822">
        <v>15494.05</v>
      </c>
    </row>
    <row r="24" spans="1:24" ht="18" customHeight="1">
      <c r="A24" s="1400" t="s">
        <v>192</v>
      </c>
      <c r="B24" s="1318">
        <v>98459</v>
      </c>
      <c r="C24" s="1315" t="s">
        <v>405</v>
      </c>
      <c r="D24" s="1319" t="s">
        <v>46</v>
      </c>
      <c r="E24" s="1320">
        <v>106.58</v>
      </c>
      <c r="F24" s="1320">
        <f>VLOOKUP(B24,'CADERNO DE COMPOSIÇÃO'!$A$8:$J$15448,10,FALSE)</f>
        <v>106.12</v>
      </c>
      <c r="G24" s="1372">
        <f t="shared" si="4"/>
        <v>364.6</v>
      </c>
      <c r="H24" s="1375">
        <v>364.6</v>
      </c>
      <c r="I24" s="1374">
        <f t="shared" si="5"/>
        <v>129.71</v>
      </c>
      <c r="J24" s="77">
        <f t="shared" si="6"/>
        <v>47292.26</v>
      </c>
      <c r="K24" s="203"/>
      <c r="L24" s="203"/>
      <c r="Q24" t="str">
        <f t="shared" si="0"/>
        <v>ok</v>
      </c>
      <c r="R24" t="str">
        <f t="shared" si="1"/>
        <v>ok</v>
      </c>
      <c r="S24" t="str">
        <f t="shared" si="2"/>
        <v>ok</v>
      </c>
      <c r="T24" t="str">
        <f t="shared" si="3"/>
        <v>ok</v>
      </c>
      <c r="U24" s="1821">
        <v>106.58</v>
      </c>
      <c r="V24" s="1822">
        <v>364.6</v>
      </c>
      <c r="W24" s="1822">
        <v>130.27000000000001</v>
      </c>
      <c r="X24" s="1822">
        <v>47496.44</v>
      </c>
    </row>
    <row r="25" spans="1:24" ht="30.75" customHeight="1">
      <c r="A25" s="1400" t="s">
        <v>193</v>
      </c>
      <c r="B25" s="1318">
        <v>99059</v>
      </c>
      <c r="C25" s="1311" t="s">
        <v>1716</v>
      </c>
      <c r="D25" s="1376" t="s">
        <v>54</v>
      </c>
      <c r="E25" s="1320">
        <v>56.99</v>
      </c>
      <c r="F25" s="1320">
        <f>VLOOKUP(B25,'CADERNO DE COMPOSIÇÃO'!$A$8:$J$15448,10,FALSE)</f>
        <v>56.810000000000009</v>
      </c>
      <c r="G25" s="1372">
        <f t="shared" si="4"/>
        <v>78.25</v>
      </c>
      <c r="H25" s="1373">
        <v>78.25</v>
      </c>
      <c r="I25" s="1374">
        <f t="shared" si="5"/>
        <v>69.430000000000007</v>
      </c>
      <c r="J25" s="77">
        <f t="shared" si="6"/>
        <v>5432.89</v>
      </c>
      <c r="K25" s="121"/>
      <c r="L25" s="173"/>
      <c r="Q25" t="str">
        <f t="shared" si="0"/>
        <v>ok</v>
      </c>
      <c r="R25" t="str">
        <f t="shared" si="1"/>
        <v>ok</v>
      </c>
      <c r="S25" t="str">
        <f t="shared" si="2"/>
        <v>ok</v>
      </c>
      <c r="T25" t="str">
        <f t="shared" si="3"/>
        <v>ok</v>
      </c>
      <c r="U25" s="1821">
        <v>56.99</v>
      </c>
      <c r="V25" s="1822">
        <v>78.25</v>
      </c>
      <c r="W25" s="1822">
        <v>69.650000000000006</v>
      </c>
      <c r="X25" s="1822">
        <v>5450.11</v>
      </c>
    </row>
    <row r="26" spans="1:24" ht="30.75" customHeight="1">
      <c r="A26" s="1400" t="s">
        <v>194</v>
      </c>
      <c r="B26" s="1423" t="s">
        <v>135</v>
      </c>
      <c r="C26" s="1377" t="s">
        <v>1715</v>
      </c>
      <c r="D26" s="1319" t="s">
        <v>55</v>
      </c>
      <c r="E26" s="1320">
        <f>K26</f>
        <v>2577.1400000000008</v>
      </c>
      <c r="F26" s="1320">
        <f>VLOOKUP(B26,'CADERNO DE COMPOSIÇÃO'!$A$8:$J$15448,10,FALSE)</f>
        <v>2565.5400000000004</v>
      </c>
      <c r="G26" s="1372">
        <f t="shared" si="4"/>
        <v>1</v>
      </c>
      <c r="H26" s="1373">
        <v>1</v>
      </c>
      <c r="I26" s="1374">
        <f t="shared" si="5"/>
        <v>3135.85</v>
      </c>
      <c r="J26" s="77">
        <f t="shared" si="6"/>
        <v>3135.85</v>
      </c>
      <c r="K26" s="119">
        <f>'COMP CIVIL'!F64</f>
        <v>2577.1400000000008</v>
      </c>
      <c r="L26" s="173"/>
      <c r="Q26" t="str">
        <f t="shared" si="0"/>
        <v>ok</v>
      </c>
      <c r="R26" t="str">
        <f t="shared" si="1"/>
        <v>ok</v>
      </c>
      <c r="S26" t="str">
        <f t="shared" si="2"/>
        <v>ok</v>
      </c>
      <c r="T26" t="str">
        <f t="shared" si="3"/>
        <v>ok</v>
      </c>
      <c r="U26" s="1821">
        <v>2577.1400000000008</v>
      </c>
      <c r="V26" s="1822">
        <v>1</v>
      </c>
      <c r="W26" s="1822">
        <v>3150.03</v>
      </c>
      <c r="X26" s="1822">
        <v>3150.03</v>
      </c>
    </row>
    <row r="27" spans="1:24" ht="28.5" customHeight="1">
      <c r="A27" s="1400" t="s">
        <v>195</v>
      </c>
      <c r="B27" s="1423">
        <v>93212</v>
      </c>
      <c r="C27" s="1315" t="s">
        <v>408</v>
      </c>
      <c r="D27" s="1376" t="s">
        <v>46</v>
      </c>
      <c r="E27" s="1321">
        <v>1070.56</v>
      </c>
      <c r="F27" s="1320">
        <f>VLOOKUP(B27,'CADERNO DE COMPOSIÇÃO'!$A$8:$J$15448,10,FALSE)</f>
        <v>1064.9800000000002</v>
      </c>
      <c r="G27" s="1372">
        <f t="shared" si="4"/>
        <v>9</v>
      </c>
      <c r="H27" s="1373">
        <v>9</v>
      </c>
      <c r="I27" s="1374">
        <f t="shared" si="5"/>
        <v>1301.72</v>
      </c>
      <c r="J27" s="77">
        <f t="shared" si="6"/>
        <v>11715.48</v>
      </c>
      <c r="K27" s="172"/>
      <c r="L27" s="173"/>
      <c r="Q27" t="str">
        <f t="shared" si="0"/>
        <v>ok</v>
      </c>
      <c r="R27" t="str">
        <f t="shared" si="1"/>
        <v>ok</v>
      </c>
      <c r="S27" t="str">
        <f t="shared" si="2"/>
        <v>ok</v>
      </c>
      <c r="T27" t="str">
        <f t="shared" si="3"/>
        <v>ok</v>
      </c>
      <c r="U27" s="1822">
        <v>1070.56</v>
      </c>
      <c r="V27" s="1822">
        <v>9</v>
      </c>
      <c r="W27" s="1822">
        <v>1308.54</v>
      </c>
      <c r="X27" s="1822">
        <v>11776.86</v>
      </c>
    </row>
    <row r="28" spans="1:24" ht="30.75" customHeight="1">
      <c r="A28" s="1400" t="s">
        <v>196</v>
      </c>
      <c r="B28" s="1318">
        <v>93208</v>
      </c>
      <c r="C28" s="1315" t="s">
        <v>407</v>
      </c>
      <c r="D28" s="1376" t="s">
        <v>46</v>
      </c>
      <c r="E28" s="1320">
        <v>962.6</v>
      </c>
      <c r="F28" s="1320">
        <f>VLOOKUP(B28,'CADERNO DE COMPOSIÇÃO'!$A$8:$J$15448,10,FALSE)</f>
        <v>957.71</v>
      </c>
      <c r="G28" s="1372">
        <f t="shared" si="4"/>
        <v>23.38</v>
      </c>
      <c r="H28" s="1373">
        <v>23.38</v>
      </c>
      <c r="I28" s="1374">
        <f t="shared" si="5"/>
        <v>1170.5999999999999</v>
      </c>
      <c r="J28" s="77">
        <f t="shared" si="6"/>
        <v>27368.62</v>
      </c>
      <c r="K28" s="82"/>
      <c r="L28" s="173"/>
      <c r="Q28" t="str">
        <f t="shared" si="0"/>
        <v>ok</v>
      </c>
      <c r="R28" t="str">
        <f t="shared" si="1"/>
        <v>ok</v>
      </c>
      <c r="S28" t="str">
        <f t="shared" si="2"/>
        <v>ok</v>
      </c>
      <c r="T28" t="str">
        <f t="shared" si="3"/>
        <v>ok</v>
      </c>
      <c r="U28" s="1821">
        <v>962.6</v>
      </c>
      <c r="V28" s="1822">
        <v>23.38</v>
      </c>
      <c r="W28" s="1822">
        <v>1176.58</v>
      </c>
      <c r="X28" s="1822">
        <v>27508.44</v>
      </c>
    </row>
    <row r="29" spans="1:24" ht="29.25" customHeight="1">
      <c r="A29" s="1400" t="s">
        <v>197</v>
      </c>
      <c r="B29" s="1318">
        <v>93210</v>
      </c>
      <c r="C29" s="1322" t="s">
        <v>1201</v>
      </c>
      <c r="D29" s="1376" t="s">
        <v>1717</v>
      </c>
      <c r="E29" s="1320">
        <v>628.86</v>
      </c>
      <c r="F29" s="1320">
        <f>VLOOKUP(B29,'CADERNO DE COMPOSIÇÃO'!$A$8:$J$15448,10,FALSE)</f>
        <v>625.69000000000005</v>
      </c>
      <c r="G29" s="1372">
        <f t="shared" si="4"/>
        <v>23.38</v>
      </c>
      <c r="H29" s="1373">
        <v>23.38</v>
      </c>
      <c r="I29" s="1374">
        <f t="shared" si="5"/>
        <v>764.78</v>
      </c>
      <c r="J29" s="77">
        <f t="shared" si="6"/>
        <v>17880.55</v>
      </c>
      <c r="K29" s="82"/>
      <c r="L29" s="173"/>
      <c r="Q29" t="str">
        <f t="shared" si="0"/>
        <v>ok</v>
      </c>
      <c r="R29" t="str">
        <f t="shared" si="1"/>
        <v>ok</v>
      </c>
      <c r="S29" t="str">
        <f t="shared" si="2"/>
        <v>ok</v>
      </c>
      <c r="T29" t="str">
        <f t="shared" si="3"/>
        <v>ok</v>
      </c>
      <c r="U29" s="1821">
        <v>628.86</v>
      </c>
      <c r="V29" s="1822">
        <v>23.38</v>
      </c>
      <c r="W29" s="1822">
        <v>768.65</v>
      </c>
      <c r="X29" s="1822">
        <v>17971.03</v>
      </c>
    </row>
    <row r="30" spans="1:24" ht="29.25" customHeight="1">
      <c r="A30" s="1400" t="s">
        <v>198</v>
      </c>
      <c r="B30" s="1318">
        <v>93207</v>
      </c>
      <c r="C30" s="1322" t="s">
        <v>1200</v>
      </c>
      <c r="D30" s="1376" t="s">
        <v>46</v>
      </c>
      <c r="E30" s="1320">
        <v>1193.96</v>
      </c>
      <c r="F30" s="1320">
        <f>VLOOKUP(B30,'CADERNO DE COMPOSIÇÃO'!$A$8:$J$15448,10,FALSE)</f>
        <v>1187.7199999999996</v>
      </c>
      <c r="G30" s="1372">
        <f t="shared" si="4"/>
        <v>13.6</v>
      </c>
      <c r="H30" s="1373">
        <v>13.6</v>
      </c>
      <c r="I30" s="1374">
        <f t="shared" si="5"/>
        <v>1451.75</v>
      </c>
      <c r="J30" s="77">
        <f t="shared" si="6"/>
        <v>19743.8</v>
      </c>
      <c r="K30" s="82"/>
      <c r="L30" s="173"/>
      <c r="Q30" t="str">
        <f t="shared" si="0"/>
        <v>ok</v>
      </c>
      <c r="R30" t="str">
        <f t="shared" si="1"/>
        <v>ok</v>
      </c>
      <c r="S30" t="str">
        <f t="shared" si="2"/>
        <v>ok</v>
      </c>
      <c r="T30" t="str">
        <f t="shared" si="3"/>
        <v>ok</v>
      </c>
      <c r="U30" s="1821">
        <v>1193.96</v>
      </c>
      <c r="V30" s="1822">
        <v>13.6</v>
      </c>
      <c r="W30" s="1822">
        <v>1459.37</v>
      </c>
      <c r="X30" s="1822">
        <v>19847.43</v>
      </c>
    </row>
    <row r="31" spans="1:24" ht="34.5" customHeight="1">
      <c r="A31" s="1400" t="s">
        <v>199</v>
      </c>
      <c r="B31" s="1424">
        <v>93214</v>
      </c>
      <c r="C31" s="1315" t="s">
        <v>406</v>
      </c>
      <c r="D31" s="1319" t="s">
        <v>55</v>
      </c>
      <c r="E31" s="1321">
        <v>6342.19</v>
      </c>
      <c r="F31" s="1320">
        <f>VLOOKUP(B31,'CADERNO DE COMPOSIÇÃO'!$A$8:$J$15448,10,FALSE)</f>
        <v>6309.6399999999994</v>
      </c>
      <c r="G31" s="1372">
        <f t="shared" si="4"/>
        <v>1</v>
      </c>
      <c r="H31" s="1373">
        <v>1</v>
      </c>
      <c r="I31" s="1374">
        <f t="shared" si="5"/>
        <v>7712.27</v>
      </c>
      <c r="J31" s="77">
        <f t="shared" si="6"/>
        <v>7712.27</v>
      </c>
      <c r="K31" s="82"/>
      <c r="L31" s="173"/>
      <c r="Q31" t="str">
        <f t="shared" si="0"/>
        <v>ok</v>
      </c>
      <c r="R31" t="str">
        <f t="shared" si="1"/>
        <v>ok</v>
      </c>
      <c r="S31" t="str">
        <f t="shared" si="2"/>
        <v>ok</v>
      </c>
      <c r="T31" t="str">
        <f t="shared" si="3"/>
        <v>ok</v>
      </c>
      <c r="U31" s="1822">
        <v>6342.19</v>
      </c>
      <c r="V31" s="1822">
        <v>1</v>
      </c>
      <c r="W31" s="1822">
        <v>7752.05</v>
      </c>
      <c r="X31" s="1822">
        <v>7752.05</v>
      </c>
    </row>
    <row r="32" spans="1:24" ht="45" customHeight="1">
      <c r="A32" s="1400" t="s">
        <v>200</v>
      </c>
      <c r="B32" s="1365">
        <v>95635</v>
      </c>
      <c r="C32" s="1366" t="s">
        <v>410</v>
      </c>
      <c r="D32" s="1367" t="s">
        <v>55</v>
      </c>
      <c r="E32" s="1368">
        <v>285.54000000000002</v>
      </c>
      <c r="F32" s="1320">
        <f>VLOOKUP(B32,'CADERNO DE COMPOSIÇÃO'!$A$8:$J$15448,10,FALSE)</f>
        <v>284.45999999999998</v>
      </c>
      <c r="G32" s="1369">
        <f t="shared" si="4"/>
        <v>1</v>
      </c>
      <c r="H32" s="648">
        <v>1</v>
      </c>
      <c r="I32" s="1370">
        <f t="shared" si="5"/>
        <v>347.69</v>
      </c>
      <c r="J32" s="1371">
        <f t="shared" si="6"/>
        <v>347.69</v>
      </c>
      <c r="K32" s="82"/>
      <c r="L32" s="173"/>
      <c r="Q32" t="str">
        <f t="shared" si="0"/>
        <v>ok</v>
      </c>
      <c r="R32" t="str">
        <f t="shared" si="1"/>
        <v>ok</v>
      </c>
      <c r="S32" t="str">
        <f t="shared" si="2"/>
        <v>ok</v>
      </c>
      <c r="T32" t="str">
        <f t="shared" si="3"/>
        <v>ok</v>
      </c>
      <c r="U32" s="1822">
        <v>285.54000000000002</v>
      </c>
      <c r="V32" s="1822">
        <v>1</v>
      </c>
      <c r="W32" s="1822">
        <v>349.01</v>
      </c>
      <c r="X32" s="1822">
        <v>349.01</v>
      </c>
    </row>
    <row r="33" spans="1:24" ht="18" customHeight="1">
      <c r="A33" s="1400" t="s">
        <v>201</v>
      </c>
      <c r="B33" s="1318">
        <v>95675</v>
      </c>
      <c r="C33" s="1315" t="s">
        <v>409</v>
      </c>
      <c r="D33" s="1319" t="s">
        <v>55</v>
      </c>
      <c r="E33" s="1320">
        <v>143.66999999999999</v>
      </c>
      <c r="F33" s="1320">
        <f>VLOOKUP(B33,'CADERNO DE COMPOSIÇÃO'!$A$8:$J$15448,10,FALSE)</f>
        <v>143.04999999999998</v>
      </c>
      <c r="G33" s="1372">
        <f t="shared" si="4"/>
        <v>1</v>
      </c>
      <c r="H33" s="1375">
        <v>1</v>
      </c>
      <c r="I33" s="1374">
        <f t="shared" si="5"/>
        <v>174.85</v>
      </c>
      <c r="J33" s="77">
        <f t="shared" si="6"/>
        <v>174.85</v>
      </c>
      <c r="K33" s="203"/>
      <c r="L33" s="203"/>
      <c r="Q33" t="str">
        <f t="shared" si="0"/>
        <v>ok</v>
      </c>
      <c r="R33" t="str">
        <f t="shared" si="1"/>
        <v>ok</v>
      </c>
      <c r="S33" t="str">
        <f t="shared" si="2"/>
        <v>ok</v>
      </c>
      <c r="T33" t="str">
        <f t="shared" si="3"/>
        <v>ok</v>
      </c>
      <c r="U33" s="1821">
        <v>143.66999999999999</v>
      </c>
      <c r="V33" s="1822">
        <v>1</v>
      </c>
      <c r="W33" s="1822">
        <v>175.6</v>
      </c>
      <c r="X33" s="1822">
        <v>175.6</v>
      </c>
    </row>
    <row r="34" spans="1:24" ht="15.75" thickBot="1">
      <c r="A34" s="78"/>
      <c r="B34" s="1433"/>
      <c r="C34" s="1434"/>
      <c r="D34" s="1409"/>
      <c r="E34" s="1329"/>
      <c r="F34" s="1329"/>
      <c r="G34" s="1435"/>
      <c r="H34" s="1378"/>
      <c r="I34" s="1436" t="s">
        <v>15</v>
      </c>
      <c r="J34" s="79">
        <f>TRUNC(SUM(J20:J33),2)</f>
        <v>166577.95000000001</v>
      </c>
      <c r="K34" s="200"/>
      <c r="L34" s="99"/>
      <c r="Q34" t="str">
        <f t="shared" si="0"/>
        <v>ok</v>
      </c>
      <c r="R34" t="str">
        <f t="shared" si="1"/>
        <v>ok</v>
      </c>
      <c r="S34" t="str">
        <f t="shared" si="2"/>
        <v>ok</v>
      </c>
      <c r="T34" t="str">
        <f t="shared" si="3"/>
        <v>ok</v>
      </c>
      <c r="U34" s="99"/>
      <c r="W34" s="1825" t="s">
        <v>15</v>
      </c>
      <c r="X34" s="1822">
        <v>167377.44</v>
      </c>
    </row>
    <row r="35" spans="1:24">
      <c r="A35" s="356">
        <v>3</v>
      </c>
      <c r="B35" s="357"/>
      <c r="C35" s="358" t="s">
        <v>204</v>
      </c>
      <c r="D35" s="359"/>
      <c r="E35" s="1077"/>
      <c r="F35" s="1077"/>
      <c r="G35" s="646"/>
      <c r="H35" s="647"/>
      <c r="I35" s="647"/>
      <c r="J35" s="362"/>
      <c r="K35" s="273" t="s">
        <v>1363</v>
      </c>
      <c r="L35" s="516"/>
      <c r="Q35" t="str">
        <f t="shared" si="0"/>
        <v>ok</v>
      </c>
      <c r="R35" t="str">
        <f t="shared" si="1"/>
        <v>ok</v>
      </c>
      <c r="S35" t="str">
        <f t="shared" si="2"/>
        <v>ok</v>
      </c>
      <c r="T35" t="str">
        <f t="shared" si="3"/>
        <v>ok</v>
      </c>
      <c r="U35" s="99"/>
      <c r="W35" s="1822"/>
      <c r="X35" s="1822"/>
    </row>
    <row r="36" spans="1:24" ht="42.75" customHeight="1">
      <c r="A36" s="1647" t="s">
        <v>18</v>
      </c>
      <c r="B36" s="1318">
        <v>101113</v>
      </c>
      <c r="C36" s="1322" t="s">
        <v>1202</v>
      </c>
      <c r="D36" s="1316" t="s">
        <v>47</v>
      </c>
      <c r="E36" s="1320">
        <v>1020.55</v>
      </c>
      <c r="F36" s="1320">
        <f>VLOOKUP(B36,'CADERNO DE COMPOSIÇÃO'!$A$8:$J$15448,10,FALSE)</f>
        <v>1016.26</v>
      </c>
      <c r="G36" s="1372">
        <f>IF(OR(E36&lt;=0)," ",TRUNC(H36,2))</f>
        <v>30.34</v>
      </c>
      <c r="H36" s="1373">
        <v>30.34</v>
      </c>
      <c r="I36" s="1374">
        <f t="shared" ref="I36:I38" si="7">TRUNC(F36*(1+$J$11),2)</f>
        <v>1242.17</v>
      </c>
      <c r="J36" s="77">
        <f t="shared" ref="J36:J38" si="8">TRUNC(I36*G36,2)</f>
        <v>37687.43</v>
      </c>
      <c r="K36" s="516" t="s">
        <v>457</v>
      </c>
      <c r="L36" s="81"/>
      <c r="Q36" t="str">
        <f t="shared" si="0"/>
        <v>ok</v>
      </c>
      <c r="R36" t="str">
        <f t="shared" si="1"/>
        <v>ok</v>
      </c>
      <c r="S36" t="str">
        <f t="shared" si="2"/>
        <v>ok</v>
      </c>
      <c r="T36" t="str">
        <f t="shared" si="3"/>
        <v>ok</v>
      </c>
      <c r="U36" s="1821">
        <v>1020.55</v>
      </c>
      <c r="V36" s="1822">
        <v>30.34</v>
      </c>
      <c r="W36" s="1822">
        <v>1247.4100000000001</v>
      </c>
      <c r="X36" s="1822">
        <v>37846.410000000003</v>
      </c>
    </row>
    <row r="37" spans="1:24" ht="30.75" customHeight="1">
      <c r="A37" s="1400" t="s">
        <v>2091</v>
      </c>
      <c r="B37" s="1318">
        <v>96527</v>
      </c>
      <c r="C37" s="1322" t="s">
        <v>615</v>
      </c>
      <c r="D37" s="1316" t="s">
        <v>47</v>
      </c>
      <c r="E37" s="1320">
        <v>116.35</v>
      </c>
      <c r="F37" s="1320">
        <f>VLOOKUP(B37,'CADERNO DE COMPOSIÇÃO'!$A$8:$J$15448,10,FALSE)</f>
        <v>116.35</v>
      </c>
      <c r="G37" s="1372">
        <f>IF(OR(E37&lt;=0)," ",TRUNC(H37,2))</f>
        <v>35.49</v>
      </c>
      <c r="H37" s="1373">
        <v>35.49</v>
      </c>
      <c r="I37" s="1374">
        <f t="shared" si="7"/>
        <v>142.21</v>
      </c>
      <c r="J37" s="77">
        <f t="shared" si="8"/>
        <v>5047.03</v>
      </c>
      <c r="K37" s="201"/>
      <c r="L37" s="307"/>
      <c r="Q37" t="str">
        <f t="shared" si="0"/>
        <v>ok</v>
      </c>
      <c r="R37" t="str">
        <f t="shared" si="1"/>
        <v>ok</v>
      </c>
      <c r="S37" t="str">
        <f t="shared" si="2"/>
        <v>ok</v>
      </c>
      <c r="T37" t="str">
        <f t="shared" si="3"/>
        <v>ok</v>
      </c>
      <c r="U37" s="1821">
        <v>116.35</v>
      </c>
      <c r="V37" s="1822">
        <v>35.49</v>
      </c>
      <c r="W37" s="1822">
        <v>142.21</v>
      </c>
      <c r="X37" s="1822">
        <v>5047.03</v>
      </c>
    </row>
    <row r="38" spans="1:24" ht="19.5" customHeight="1">
      <c r="A38" s="1400" t="s">
        <v>69</v>
      </c>
      <c r="B38" s="1318">
        <v>96995</v>
      </c>
      <c r="C38" s="1322" t="s">
        <v>414</v>
      </c>
      <c r="D38" s="1316" t="s">
        <v>47</v>
      </c>
      <c r="E38" s="1320">
        <v>46.65</v>
      </c>
      <c r="F38" s="1320">
        <f>VLOOKUP(B38,'CADERNO DE COMPOSIÇÃO'!$A$8:$J$15448,10,FALSE)</f>
        <v>46.65</v>
      </c>
      <c r="G38" s="1372">
        <f>IF(OR(E38&lt;=0)," ",TRUNC(H38,2))</f>
        <v>25.81</v>
      </c>
      <c r="H38" s="1373">
        <v>25.81</v>
      </c>
      <c r="I38" s="1374">
        <f t="shared" si="7"/>
        <v>57.02</v>
      </c>
      <c r="J38" s="77">
        <f t="shared" si="8"/>
        <v>1471.68</v>
      </c>
      <c r="K38" s="426"/>
      <c r="L38" s="441" t="s">
        <v>1215</v>
      </c>
      <c r="M38" s="427"/>
      <c r="Q38" t="str">
        <f t="shared" si="0"/>
        <v>ok</v>
      </c>
      <c r="R38" t="str">
        <f t="shared" si="1"/>
        <v>ok</v>
      </c>
      <c r="S38" t="str">
        <f t="shared" si="2"/>
        <v>ok</v>
      </c>
      <c r="T38" t="str">
        <f t="shared" si="3"/>
        <v>ok</v>
      </c>
      <c r="U38" s="1821">
        <v>46.65</v>
      </c>
      <c r="V38" s="1822">
        <v>25.81</v>
      </c>
      <c r="W38" s="1822">
        <v>57.02</v>
      </c>
      <c r="X38" s="1822">
        <v>1471.68</v>
      </c>
    </row>
    <row r="39" spans="1:24" ht="15.75" thickBot="1">
      <c r="A39" s="1648"/>
      <c r="B39" s="1409"/>
      <c r="C39" s="1409"/>
      <c r="D39" s="1409"/>
      <c r="E39" s="1329"/>
      <c r="F39" s="1320"/>
      <c r="G39" s="1435"/>
      <c r="H39" s="1378"/>
      <c r="I39" s="1436" t="s">
        <v>15</v>
      </c>
      <c r="J39" s="79">
        <f>TRUNC(SUM(J36:J38),2)</f>
        <v>44206.14</v>
      </c>
      <c r="K39" s="198"/>
      <c r="L39" s="53"/>
      <c r="Q39" t="str">
        <f t="shared" si="0"/>
        <v>ok</v>
      </c>
      <c r="R39" t="str">
        <f t="shared" si="1"/>
        <v>ok</v>
      </c>
      <c r="S39" t="str">
        <f t="shared" si="2"/>
        <v>ok</v>
      </c>
      <c r="T39" t="str">
        <f t="shared" si="3"/>
        <v>ok</v>
      </c>
      <c r="U39" s="99"/>
      <c r="W39" s="1825" t="s">
        <v>15</v>
      </c>
      <c r="X39" s="1822">
        <v>44365.120000000003</v>
      </c>
    </row>
    <row r="40" spans="1:24">
      <c r="A40" s="356">
        <v>4</v>
      </c>
      <c r="B40" s="357"/>
      <c r="C40" s="358" t="s">
        <v>1168</v>
      </c>
      <c r="D40" s="359"/>
      <c r="E40" s="1077"/>
      <c r="F40" s="1077"/>
      <c r="G40" s="646"/>
      <c r="H40" s="647"/>
      <c r="I40" s="647"/>
      <c r="J40" s="362"/>
      <c r="K40" s="273"/>
      <c r="L40" s="53"/>
      <c r="Q40" t="str">
        <f t="shared" si="0"/>
        <v>ok</v>
      </c>
      <c r="R40" t="str">
        <f t="shared" si="1"/>
        <v>ok</v>
      </c>
      <c r="S40" t="str">
        <f t="shared" si="2"/>
        <v>ok</v>
      </c>
      <c r="T40" t="str">
        <f t="shared" si="3"/>
        <v>ok</v>
      </c>
      <c r="U40" s="99"/>
      <c r="W40" s="1822"/>
      <c r="X40" s="1822"/>
    </row>
    <row r="41" spans="1:24">
      <c r="A41" s="1649" t="s">
        <v>19</v>
      </c>
      <c r="B41" s="1629"/>
      <c r="C41" s="1630" t="s">
        <v>215</v>
      </c>
      <c r="D41" s="1629"/>
      <c r="E41" s="1631"/>
      <c r="F41" s="1631"/>
      <c r="G41" s="1632" t="str">
        <f t="shared" ref="G41:G72" si="9">IF(OR(E41&lt;=0)," ",TRUNC(H41,2))</f>
        <v xml:space="preserve"> </v>
      </c>
      <c r="H41" s="1628"/>
      <c r="I41" s="1628" t="str">
        <f>IF(OR(E41&lt;=0)," ",TRUNC((E41*(1+$J$11)),2))</f>
        <v xml:space="preserve"> </v>
      </c>
      <c r="J41" s="178" t="str">
        <f>IF(OR(E41&lt;=0)," ",TRUNC((I41*G41),2))</f>
        <v xml:space="preserve"> </v>
      </c>
      <c r="K41" s="516" t="s">
        <v>457</v>
      </c>
      <c r="L41" s="53"/>
      <c r="Q41" t="str">
        <f t="shared" si="0"/>
        <v>ok</v>
      </c>
      <c r="R41" t="str">
        <f t="shared" si="1"/>
        <v>ok</v>
      </c>
      <c r="S41" t="str">
        <f t="shared" si="2"/>
        <v>ok</v>
      </c>
      <c r="T41" t="str">
        <f t="shared" si="3"/>
        <v>ok</v>
      </c>
      <c r="U41" s="99"/>
      <c r="V41" s="1822" t="s">
        <v>42</v>
      </c>
      <c r="W41" s="1822" t="s">
        <v>42</v>
      </c>
      <c r="X41" s="1822" t="s">
        <v>42</v>
      </c>
    </row>
    <row r="42" spans="1:24" ht="35.25" customHeight="1">
      <c r="A42" s="1400" t="s">
        <v>210</v>
      </c>
      <c r="B42" s="1304">
        <v>96536</v>
      </c>
      <c r="C42" s="1315" t="s">
        <v>423</v>
      </c>
      <c r="D42" s="1304" t="s">
        <v>46</v>
      </c>
      <c r="E42" s="1314">
        <v>75.89</v>
      </c>
      <c r="F42" s="1320">
        <f>VLOOKUP(B42,'CADERNO DE COMPOSIÇÃO'!$A$8:$J$15448,10,FALSE)</f>
        <v>75.670000000000016</v>
      </c>
      <c r="G42" s="1372">
        <f t="shared" si="9"/>
        <v>153.22</v>
      </c>
      <c r="H42" s="1381">
        <v>153.22</v>
      </c>
      <c r="I42" s="1374">
        <f t="shared" ref="I42:I48" si="10">TRUNC(F42*(1+$J$11),2)</f>
        <v>92.49</v>
      </c>
      <c r="J42" s="77">
        <f t="shared" ref="J42:J48" si="11">TRUNC(I42*G42,2)</f>
        <v>14171.31</v>
      </c>
      <c r="K42" s="198"/>
      <c r="L42" s="53"/>
      <c r="Q42" t="str">
        <f t="shared" si="0"/>
        <v>ok</v>
      </c>
      <c r="R42" t="str">
        <f t="shared" si="1"/>
        <v>ok</v>
      </c>
      <c r="S42" t="str">
        <f t="shared" si="2"/>
        <v>ok</v>
      </c>
      <c r="T42" t="str">
        <f t="shared" si="3"/>
        <v>ok</v>
      </c>
      <c r="U42" s="99">
        <v>75.89</v>
      </c>
      <c r="V42" s="1822">
        <v>153.22</v>
      </c>
      <c r="W42" s="1822">
        <v>92.76</v>
      </c>
      <c r="X42" s="1822">
        <v>14212.68</v>
      </c>
    </row>
    <row r="43" spans="1:24" ht="35.25" customHeight="1">
      <c r="A43" s="1400" t="s">
        <v>209</v>
      </c>
      <c r="B43" s="1304">
        <v>94965</v>
      </c>
      <c r="C43" s="190" t="s">
        <v>420</v>
      </c>
      <c r="D43" s="1316" t="s">
        <v>47</v>
      </c>
      <c r="E43" s="1314">
        <v>568</v>
      </c>
      <c r="F43" s="1320">
        <f>VLOOKUP(B43,'CADERNO DE COMPOSIÇÃO'!$A$8:$J$15448,10,FALSE)</f>
        <v>563.54999999999995</v>
      </c>
      <c r="G43" s="1372">
        <f t="shared" si="9"/>
        <v>9.68</v>
      </c>
      <c r="H43" s="1381">
        <v>9.68</v>
      </c>
      <c r="I43" s="1374">
        <f t="shared" si="10"/>
        <v>688.82</v>
      </c>
      <c r="J43" s="77">
        <f t="shared" si="11"/>
        <v>6667.77</v>
      </c>
      <c r="K43" s="198"/>
      <c r="L43" s="223"/>
      <c r="Q43" t="str">
        <f t="shared" si="0"/>
        <v>ok</v>
      </c>
      <c r="R43" t="str">
        <f t="shared" si="1"/>
        <v>ok</v>
      </c>
      <c r="S43" t="str">
        <f t="shared" si="2"/>
        <v>ok</v>
      </c>
      <c r="T43" t="str">
        <f t="shared" si="3"/>
        <v>ok</v>
      </c>
      <c r="U43" s="99">
        <v>568</v>
      </c>
      <c r="V43" s="1822">
        <v>9.68</v>
      </c>
      <c r="W43" s="1822">
        <v>694.26</v>
      </c>
      <c r="X43" s="1822">
        <v>6720.43</v>
      </c>
    </row>
    <row r="44" spans="1:24" ht="28.5">
      <c r="A44" s="1400" t="s">
        <v>211</v>
      </c>
      <c r="B44" s="1304">
        <v>103673</v>
      </c>
      <c r="C44" s="1315" t="s">
        <v>421</v>
      </c>
      <c r="D44" s="1316" t="s">
        <v>47</v>
      </c>
      <c r="E44" s="1314">
        <v>37.31</v>
      </c>
      <c r="F44" s="1320">
        <f>VLOOKUP(B44,'CADERNO DE COMPOSIÇÃO'!$A$8:$J$15448,10,FALSE)</f>
        <v>37.31</v>
      </c>
      <c r="G44" s="1372">
        <f t="shared" si="9"/>
        <v>9.68</v>
      </c>
      <c r="H44" s="1381">
        <v>9.68</v>
      </c>
      <c r="I44" s="1374">
        <f t="shared" si="10"/>
        <v>45.6</v>
      </c>
      <c r="J44" s="77">
        <f t="shared" si="11"/>
        <v>441.4</v>
      </c>
      <c r="K44" s="99"/>
      <c r="L44" s="223"/>
      <c r="Q44" t="str">
        <f t="shared" si="0"/>
        <v>ok</v>
      </c>
      <c r="R44" t="str">
        <f t="shared" si="1"/>
        <v>ok</v>
      </c>
      <c r="S44" t="str">
        <f t="shared" si="2"/>
        <v>ok</v>
      </c>
      <c r="T44" t="str">
        <f t="shared" si="3"/>
        <v>ok</v>
      </c>
      <c r="U44" s="99">
        <v>37.31</v>
      </c>
      <c r="V44" s="1822">
        <v>9.68</v>
      </c>
      <c r="W44" s="1822">
        <v>45.6</v>
      </c>
      <c r="X44" s="1822">
        <v>441.4</v>
      </c>
    </row>
    <row r="45" spans="1:24" ht="33" customHeight="1">
      <c r="A45" s="1400" t="s">
        <v>212</v>
      </c>
      <c r="B45" s="1304">
        <v>96543</v>
      </c>
      <c r="C45" s="1315" t="s">
        <v>422</v>
      </c>
      <c r="D45" s="1304" t="s">
        <v>100</v>
      </c>
      <c r="E45" s="1314">
        <v>19.399999999999999</v>
      </c>
      <c r="F45" s="1320">
        <f>VLOOKUP(B45,'CADERNO DE COMPOSIÇÃO'!$A$8:$J$15448,10,FALSE)</f>
        <v>19.3</v>
      </c>
      <c r="G45" s="1372">
        <f t="shared" si="9"/>
        <v>101.8</v>
      </c>
      <c r="H45" s="1381">
        <v>101.8</v>
      </c>
      <c r="I45" s="1374">
        <f t="shared" si="10"/>
        <v>23.59</v>
      </c>
      <c r="J45" s="77">
        <f t="shared" si="11"/>
        <v>2401.46</v>
      </c>
      <c r="K45" s="99"/>
      <c r="L45" s="53"/>
      <c r="Q45" t="str">
        <f t="shared" si="0"/>
        <v>ok</v>
      </c>
      <c r="R45" t="str">
        <f t="shared" si="1"/>
        <v>ok</v>
      </c>
      <c r="S45" t="str">
        <f t="shared" si="2"/>
        <v>ok</v>
      </c>
      <c r="T45" t="str">
        <f t="shared" si="3"/>
        <v>ok</v>
      </c>
      <c r="U45" s="99">
        <v>19.399999999999999</v>
      </c>
      <c r="V45" s="1822">
        <v>101.8</v>
      </c>
      <c r="W45" s="1822">
        <v>23.71</v>
      </c>
      <c r="X45" s="1822">
        <v>2413.67</v>
      </c>
    </row>
    <row r="46" spans="1:24" ht="47.25" customHeight="1">
      <c r="A46" s="1400" t="s">
        <v>2443</v>
      </c>
      <c r="B46" s="1304">
        <v>92761</v>
      </c>
      <c r="C46" s="1315" t="s">
        <v>426</v>
      </c>
      <c r="D46" s="1304" t="s">
        <v>100</v>
      </c>
      <c r="E46" s="1314">
        <v>15.3</v>
      </c>
      <c r="F46" s="1320">
        <f>VLOOKUP(B46,'CADERNO DE COMPOSIÇÃO'!$A$8:$J$15448,10,FALSE)</f>
        <v>15.21</v>
      </c>
      <c r="G46" s="1372">
        <f t="shared" si="9"/>
        <v>33.1</v>
      </c>
      <c r="H46" s="1381">
        <v>33.1</v>
      </c>
      <c r="I46" s="1374">
        <f t="shared" si="10"/>
        <v>18.59</v>
      </c>
      <c r="J46" s="77">
        <f t="shared" si="11"/>
        <v>615.32000000000005</v>
      </c>
      <c r="K46" s="99"/>
      <c r="L46" s="53"/>
      <c r="Q46" t="str">
        <f t="shared" si="0"/>
        <v>ok</v>
      </c>
      <c r="R46" t="str">
        <f t="shared" si="1"/>
        <v>ok</v>
      </c>
      <c r="S46" t="str">
        <f t="shared" si="2"/>
        <v>ok</v>
      </c>
      <c r="T46" t="str">
        <f t="shared" si="3"/>
        <v>ok</v>
      </c>
      <c r="U46" s="99">
        <v>15.3</v>
      </c>
      <c r="V46" s="1822">
        <v>33.1</v>
      </c>
      <c r="W46" s="1822">
        <v>18.7</v>
      </c>
      <c r="X46" s="1822">
        <v>618.97</v>
      </c>
    </row>
    <row r="47" spans="1:24" ht="48" customHeight="1">
      <c r="A47" s="1400" t="s">
        <v>213</v>
      </c>
      <c r="B47" s="1304">
        <v>92762</v>
      </c>
      <c r="C47" s="1315" t="s">
        <v>427</v>
      </c>
      <c r="D47" s="1304" t="s">
        <v>100</v>
      </c>
      <c r="E47" s="1314">
        <v>13.86</v>
      </c>
      <c r="F47" s="1320">
        <f>VLOOKUP(B47,'CADERNO DE COMPOSIÇÃO'!$A$8:$J$15448,10,FALSE)</f>
        <v>13.780000000000001</v>
      </c>
      <c r="G47" s="1372">
        <f t="shared" si="9"/>
        <v>368.7</v>
      </c>
      <c r="H47" s="1381">
        <v>368.7</v>
      </c>
      <c r="I47" s="1374">
        <f t="shared" si="10"/>
        <v>16.84</v>
      </c>
      <c r="J47" s="77">
        <f t="shared" si="11"/>
        <v>6208.9</v>
      </c>
      <c r="K47" s="222"/>
      <c r="L47" s="53"/>
      <c r="Q47" t="str">
        <f t="shared" si="0"/>
        <v>ok</v>
      </c>
      <c r="R47" t="str">
        <f t="shared" si="1"/>
        <v>ok</v>
      </c>
      <c r="S47" t="str">
        <f t="shared" si="2"/>
        <v>ok</v>
      </c>
      <c r="T47" t="str">
        <f t="shared" si="3"/>
        <v>ok</v>
      </c>
      <c r="U47" s="99">
        <v>13.86</v>
      </c>
      <c r="V47" s="1822">
        <v>368.7</v>
      </c>
      <c r="W47" s="1822">
        <v>16.940000000000001</v>
      </c>
      <c r="X47" s="1822">
        <v>6245.77</v>
      </c>
    </row>
    <row r="48" spans="1:24" ht="50.25" customHeight="1">
      <c r="A48" s="1400" t="s">
        <v>214</v>
      </c>
      <c r="B48" s="1304">
        <v>92763</v>
      </c>
      <c r="C48" s="1315" t="s">
        <v>447</v>
      </c>
      <c r="D48" s="1304" t="s">
        <v>100</v>
      </c>
      <c r="E48" s="1314">
        <v>11.76</v>
      </c>
      <c r="F48" s="1320">
        <f>VLOOKUP(B48,'CADERNO DE COMPOSIÇÃO'!$A$8:$J$15448,10,FALSE)</f>
        <v>11.68</v>
      </c>
      <c r="G48" s="1372">
        <f t="shared" si="9"/>
        <v>20</v>
      </c>
      <c r="H48" s="1381">
        <v>20</v>
      </c>
      <c r="I48" s="1374">
        <f t="shared" si="10"/>
        <v>14.27</v>
      </c>
      <c r="J48" s="77">
        <f t="shared" si="11"/>
        <v>285.39999999999998</v>
      </c>
      <c r="K48" s="1635"/>
      <c r="L48" s="1635">
        <f>TRUNC(SUM(J42:J48),2)</f>
        <v>30791.56</v>
      </c>
      <c r="Q48" t="str">
        <f t="shared" si="0"/>
        <v>ok</v>
      </c>
      <c r="R48" t="str">
        <f t="shared" si="1"/>
        <v>ok</v>
      </c>
      <c r="S48" t="str">
        <f t="shared" si="2"/>
        <v>ok</v>
      </c>
      <c r="T48" t="str">
        <f t="shared" si="3"/>
        <v>ok</v>
      </c>
      <c r="U48" s="99">
        <v>11.76</v>
      </c>
      <c r="V48" s="1822">
        <v>20</v>
      </c>
      <c r="W48" s="1822">
        <v>14.37</v>
      </c>
      <c r="X48" s="1822">
        <v>287.39999999999998</v>
      </c>
    </row>
    <row r="49" spans="1:24" ht="12.75" customHeight="1">
      <c r="A49" s="1085" t="s">
        <v>20</v>
      </c>
      <c r="B49" s="1086"/>
      <c r="C49" s="1087" t="s">
        <v>1179</v>
      </c>
      <c r="D49" s="1086"/>
      <c r="E49" s="1088"/>
      <c r="F49" s="1088"/>
      <c r="G49" s="1089" t="str">
        <f t="shared" si="9"/>
        <v xml:space="preserve"> </v>
      </c>
      <c r="H49" s="1628"/>
      <c r="I49" s="1090" t="str">
        <f>IF(OR(E49&lt;=0)," ",TRUNC((E49*(1+$J$11)),2))</f>
        <v xml:space="preserve"> </v>
      </c>
      <c r="J49" s="1091" t="str">
        <f>IF(OR(E49&lt;=0)," ",TRUNC((I49*G49),2))</f>
        <v xml:space="preserve"> </v>
      </c>
      <c r="K49" s="516" t="s">
        <v>457</v>
      </c>
      <c r="L49" s="53"/>
      <c r="Q49" t="str">
        <f t="shared" si="0"/>
        <v>ok</v>
      </c>
      <c r="R49" t="str">
        <f t="shared" si="1"/>
        <v>ok</v>
      </c>
      <c r="S49" t="str">
        <f t="shared" si="2"/>
        <v>ok</v>
      </c>
      <c r="T49" t="str">
        <f t="shared" si="3"/>
        <v>ok</v>
      </c>
      <c r="U49" s="99"/>
      <c r="V49" s="1822" t="s">
        <v>42</v>
      </c>
      <c r="W49" s="1822" t="s">
        <v>42</v>
      </c>
      <c r="X49" s="1822" t="s">
        <v>42</v>
      </c>
    </row>
    <row r="50" spans="1:24" ht="22.5" customHeight="1">
      <c r="A50" s="1400" t="s">
        <v>1203</v>
      </c>
      <c r="B50" s="1495" t="s">
        <v>451</v>
      </c>
      <c r="C50" s="1650" t="s">
        <v>1205</v>
      </c>
      <c r="D50" s="1316" t="s">
        <v>46</v>
      </c>
      <c r="E50" s="1314">
        <f>K50</f>
        <v>85.34</v>
      </c>
      <c r="F50" s="1320">
        <f>VLOOKUP(B50,'CADERNO DE COMPOSIÇÃO'!$A$8:$J$15448,10,FALSE)</f>
        <v>85.149999999999991</v>
      </c>
      <c r="G50" s="1372">
        <f t="shared" si="9"/>
        <v>13.32</v>
      </c>
      <c r="H50" s="1381">
        <v>13.32</v>
      </c>
      <c r="I50" s="1374">
        <f t="shared" ref="I50:I53" si="12">TRUNC(F50*(1+$J$11),2)</f>
        <v>104.07</v>
      </c>
      <c r="J50" s="77">
        <f t="shared" ref="J50:J53" si="13">TRUNC(I50*G50,2)</f>
        <v>1386.21</v>
      </c>
      <c r="K50" s="332">
        <f>'COMP ESTRUT'!F25</f>
        <v>85.34</v>
      </c>
      <c r="L50" s="53"/>
      <c r="Q50" t="str">
        <f t="shared" si="0"/>
        <v>ok</v>
      </c>
      <c r="R50" t="str">
        <f t="shared" si="1"/>
        <v>ok</v>
      </c>
      <c r="S50" t="str">
        <f t="shared" si="2"/>
        <v>ok</v>
      </c>
      <c r="T50" t="str">
        <f t="shared" si="3"/>
        <v>ok</v>
      </c>
      <c r="U50" s="99">
        <v>85.34</v>
      </c>
      <c r="V50" s="1822">
        <v>13.32</v>
      </c>
      <c r="W50" s="1822">
        <v>104.31</v>
      </c>
      <c r="X50" s="1822">
        <v>1389.4</v>
      </c>
    </row>
    <row r="51" spans="1:24" ht="35.25" customHeight="1">
      <c r="A51" s="1400" t="s">
        <v>216</v>
      </c>
      <c r="B51" s="1304">
        <v>94965</v>
      </c>
      <c r="C51" s="190" t="s">
        <v>420</v>
      </c>
      <c r="D51" s="1316" t="s">
        <v>47</v>
      </c>
      <c r="E51" s="1314">
        <v>568</v>
      </c>
      <c r="F51" s="1320">
        <f>VLOOKUP(B51,'CADERNO DE COMPOSIÇÃO'!$A$8:$J$15448,10,FALSE)</f>
        <v>563.54999999999995</v>
      </c>
      <c r="G51" s="1372">
        <f t="shared" si="9"/>
        <v>30.34</v>
      </c>
      <c r="H51" s="1381">
        <v>30.34</v>
      </c>
      <c r="I51" s="1374">
        <f t="shared" si="12"/>
        <v>688.82</v>
      </c>
      <c r="J51" s="77">
        <f t="shared" si="13"/>
        <v>20898.79</v>
      </c>
      <c r="K51" s="233"/>
      <c r="L51" s="53"/>
      <c r="Q51" t="str">
        <f t="shared" si="0"/>
        <v>ok</v>
      </c>
      <c r="R51" t="str">
        <f t="shared" si="1"/>
        <v>ok</v>
      </c>
      <c r="S51" t="str">
        <f t="shared" si="2"/>
        <v>ok</v>
      </c>
      <c r="T51" t="str">
        <f t="shared" si="3"/>
        <v>ok</v>
      </c>
      <c r="U51" s="99">
        <v>568</v>
      </c>
      <c r="V51" s="1822">
        <v>30.34</v>
      </c>
      <c r="W51" s="1822">
        <v>694.26</v>
      </c>
      <c r="X51" s="1822">
        <v>21063.84</v>
      </c>
    </row>
    <row r="52" spans="1:24" ht="23.25" customHeight="1">
      <c r="A52" s="1400" t="s">
        <v>217</v>
      </c>
      <c r="B52" s="1495" t="s">
        <v>452</v>
      </c>
      <c r="C52" s="1315" t="s">
        <v>1206</v>
      </c>
      <c r="D52" s="1316" t="s">
        <v>47</v>
      </c>
      <c r="E52" s="1314">
        <f>K52</f>
        <v>78.36</v>
      </c>
      <c r="F52" s="1320">
        <f>VLOOKUP(B52,'CADERNO DE COMPOSIÇÃO'!$A$8:$J$15448,10,FALSE)</f>
        <v>78.36</v>
      </c>
      <c r="G52" s="1372">
        <f t="shared" si="9"/>
        <v>30.34</v>
      </c>
      <c r="H52" s="1381">
        <v>30.34</v>
      </c>
      <c r="I52" s="1374">
        <f t="shared" si="12"/>
        <v>95.77</v>
      </c>
      <c r="J52" s="77">
        <f t="shared" si="13"/>
        <v>2905.66</v>
      </c>
      <c r="K52" s="332">
        <f>'COMP ESTRUT'!F36</f>
        <v>78.36</v>
      </c>
      <c r="L52" s="53"/>
      <c r="Q52" t="str">
        <f t="shared" si="0"/>
        <v>ok</v>
      </c>
      <c r="R52" t="str">
        <f t="shared" si="1"/>
        <v>ok</v>
      </c>
      <c r="S52" t="str">
        <f t="shared" si="2"/>
        <v>ok</v>
      </c>
      <c r="T52" t="str">
        <f t="shared" si="3"/>
        <v>ok</v>
      </c>
      <c r="U52" s="99">
        <v>78.36</v>
      </c>
      <c r="V52" s="1822">
        <v>30.34</v>
      </c>
      <c r="W52" s="1822">
        <v>95.77</v>
      </c>
      <c r="X52" s="1822">
        <v>2905.66</v>
      </c>
    </row>
    <row r="53" spans="1:24" ht="34.5" customHeight="1">
      <c r="A53" s="1400" t="s">
        <v>2217</v>
      </c>
      <c r="B53" s="1495" t="s">
        <v>2186</v>
      </c>
      <c r="C53" s="1315" t="s">
        <v>1208</v>
      </c>
      <c r="D53" s="1304" t="s">
        <v>100</v>
      </c>
      <c r="E53" s="1314">
        <f>K53</f>
        <v>60.348834999999994</v>
      </c>
      <c r="F53" s="1320">
        <f>VLOOKUP(B53,'CADERNO DE COMPOSIÇÃO'!$A$8:$J$15448,10,FALSE)</f>
        <v>60.24</v>
      </c>
      <c r="G53" s="1372">
        <f t="shared" si="9"/>
        <v>482</v>
      </c>
      <c r="H53" s="1381">
        <v>482</v>
      </c>
      <c r="I53" s="1374">
        <f t="shared" si="12"/>
        <v>73.63</v>
      </c>
      <c r="J53" s="77">
        <f t="shared" si="13"/>
        <v>35489.660000000003</v>
      </c>
      <c r="K53" s="332">
        <f>'COMP ESTRUT'!F55</f>
        <v>60.348834999999994</v>
      </c>
      <c r="L53" s="122">
        <f>TRUNC(SUM(J50:J53),2)</f>
        <v>60680.32</v>
      </c>
      <c r="Q53" t="str">
        <f t="shared" si="0"/>
        <v>ok</v>
      </c>
      <c r="R53" t="str">
        <f t="shared" si="1"/>
        <v>ok</v>
      </c>
      <c r="S53" t="str">
        <f t="shared" si="2"/>
        <v>ok</v>
      </c>
      <c r="T53" t="str">
        <f t="shared" si="3"/>
        <v>ok</v>
      </c>
      <c r="U53" s="99">
        <v>60.348834999999994</v>
      </c>
      <c r="V53" s="1822">
        <v>482</v>
      </c>
      <c r="W53" s="1822">
        <v>73.760000000000005</v>
      </c>
      <c r="X53" s="1822">
        <v>35552.32</v>
      </c>
    </row>
    <row r="54" spans="1:24" ht="14.25" customHeight="1">
      <c r="A54" s="1649" t="s">
        <v>21</v>
      </c>
      <c r="B54" s="1629"/>
      <c r="C54" s="1630" t="s">
        <v>1367</v>
      </c>
      <c r="D54" s="1629"/>
      <c r="E54" s="1631"/>
      <c r="F54" s="1631"/>
      <c r="G54" s="1632" t="str">
        <f t="shared" si="9"/>
        <v xml:space="preserve"> </v>
      </c>
      <c r="H54" s="1628"/>
      <c r="I54" s="1628" t="str">
        <f>IF(OR(E54&lt;=0)," ",TRUNC((E54*(1+$J$11)),2))</f>
        <v xml:space="preserve"> </v>
      </c>
      <c r="J54" s="178" t="str">
        <f>IF(OR(E54&lt;=0)," ",TRUNC((I54*G54),2))</f>
        <v xml:space="preserve"> </v>
      </c>
      <c r="K54" s="199" t="s">
        <v>1425</v>
      </c>
      <c r="L54" s="201"/>
      <c r="Q54" t="str">
        <f t="shared" si="0"/>
        <v>ok</v>
      </c>
      <c r="R54" t="str">
        <f t="shared" si="1"/>
        <v>ok</v>
      </c>
      <c r="S54" t="str">
        <f t="shared" si="2"/>
        <v>ok</v>
      </c>
      <c r="T54" t="str">
        <f t="shared" si="3"/>
        <v>ok</v>
      </c>
      <c r="U54" s="99"/>
      <c r="V54" s="1822" t="s">
        <v>42</v>
      </c>
      <c r="W54" s="1822" t="s">
        <v>42</v>
      </c>
      <c r="X54" s="1822" t="s">
        <v>42</v>
      </c>
    </row>
    <row r="55" spans="1:24" ht="48.75" customHeight="1">
      <c r="A55" s="1123" t="s">
        <v>218</v>
      </c>
      <c r="B55" s="1588">
        <v>92522</v>
      </c>
      <c r="C55" s="1489" t="s">
        <v>1718</v>
      </c>
      <c r="D55" s="1588" t="s">
        <v>46</v>
      </c>
      <c r="E55" s="1074">
        <v>47.84</v>
      </c>
      <c r="F55" s="1320">
        <f>VLOOKUP(B55,'CADERNO DE COMPOSIÇÃO'!$A$8:$J$15448,10,FALSE)</f>
        <v>47.66</v>
      </c>
      <c r="G55" s="1369">
        <f t="shared" si="9"/>
        <v>61.4</v>
      </c>
      <c r="H55" s="512">
        <v>61.4</v>
      </c>
      <c r="I55" s="1370">
        <f t="shared" ref="I55:I62" si="14">TRUNC(F55*(1+$J$11),2)</f>
        <v>58.25</v>
      </c>
      <c r="J55" s="1371">
        <f t="shared" ref="J55:J62" si="15">TRUNC(I55*G55,2)</f>
        <v>3576.55</v>
      </c>
      <c r="K55" s="516" t="s">
        <v>457</v>
      </c>
      <c r="L55" s="199"/>
      <c r="Q55" t="str">
        <f t="shared" si="0"/>
        <v>ok</v>
      </c>
      <c r="R55" t="str">
        <f t="shared" si="1"/>
        <v>ok</v>
      </c>
      <c r="S55" t="str">
        <f t="shared" si="2"/>
        <v>ok</v>
      </c>
      <c r="T55" t="str">
        <f t="shared" si="3"/>
        <v>ok</v>
      </c>
      <c r="U55" s="99">
        <v>47.84</v>
      </c>
      <c r="V55" s="1822">
        <v>61.4</v>
      </c>
      <c r="W55" s="1822">
        <v>58.47</v>
      </c>
      <c r="X55" s="1822">
        <v>3590.05</v>
      </c>
    </row>
    <row r="56" spans="1:24" ht="33" customHeight="1">
      <c r="A56" s="1651" t="s">
        <v>219</v>
      </c>
      <c r="B56" s="1304">
        <v>94965</v>
      </c>
      <c r="C56" s="1496" t="s">
        <v>420</v>
      </c>
      <c r="D56" s="1316" t="s">
        <v>47</v>
      </c>
      <c r="E56" s="1314">
        <v>568</v>
      </c>
      <c r="F56" s="1320">
        <f>VLOOKUP(B56,'CADERNO DE COMPOSIÇÃO'!$A$8:$J$15448,10,FALSE)</f>
        <v>563.54999999999995</v>
      </c>
      <c r="G56" s="1372">
        <f t="shared" si="9"/>
        <v>11.07</v>
      </c>
      <c r="H56" s="1381">
        <v>11.07</v>
      </c>
      <c r="I56" s="1374">
        <f t="shared" si="14"/>
        <v>688.82</v>
      </c>
      <c r="J56" s="77">
        <f t="shared" si="15"/>
        <v>7625.23</v>
      </c>
      <c r="K56" s="323"/>
      <c r="L56" s="199"/>
      <c r="Q56" t="str">
        <f t="shared" si="0"/>
        <v>ok</v>
      </c>
      <c r="R56" t="str">
        <f t="shared" si="1"/>
        <v>ok</v>
      </c>
      <c r="S56" t="str">
        <f t="shared" si="2"/>
        <v>ok</v>
      </c>
      <c r="T56" t="str">
        <f t="shared" si="3"/>
        <v>ok</v>
      </c>
      <c r="U56" s="99">
        <v>568</v>
      </c>
      <c r="V56" s="1822">
        <v>11.07</v>
      </c>
      <c r="W56" s="1822">
        <v>694.26</v>
      </c>
      <c r="X56" s="1822">
        <v>7685.45</v>
      </c>
    </row>
    <row r="57" spans="1:24" ht="33.75" customHeight="1">
      <c r="A57" s="1651" t="s">
        <v>220</v>
      </c>
      <c r="B57" s="1304">
        <v>103673</v>
      </c>
      <c r="C57" s="1311" t="s">
        <v>421</v>
      </c>
      <c r="D57" s="1316" t="s">
        <v>47</v>
      </c>
      <c r="E57" s="1314">
        <v>37.31</v>
      </c>
      <c r="F57" s="1320">
        <f>VLOOKUP(B57,'CADERNO DE COMPOSIÇÃO'!$A$8:$J$15448,10,FALSE)</f>
        <v>37.31</v>
      </c>
      <c r="G57" s="1372">
        <f t="shared" si="9"/>
        <v>11.07</v>
      </c>
      <c r="H57" s="1381">
        <v>11.07</v>
      </c>
      <c r="I57" s="1374">
        <f t="shared" si="14"/>
        <v>45.6</v>
      </c>
      <c r="J57" s="77">
        <f t="shared" si="15"/>
        <v>504.79</v>
      </c>
      <c r="K57" s="323"/>
      <c r="L57" s="199"/>
      <c r="Q57" t="str">
        <f t="shared" si="0"/>
        <v>ok</v>
      </c>
      <c r="R57" t="str">
        <f t="shared" si="1"/>
        <v>ok</v>
      </c>
      <c r="S57" t="str">
        <f t="shared" si="2"/>
        <v>ok</v>
      </c>
      <c r="T57" t="str">
        <f t="shared" si="3"/>
        <v>ok</v>
      </c>
      <c r="U57" s="99">
        <v>37.31</v>
      </c>
      <c r="V57" s="1822">
        <v>11.07</v>
      </c>
      <c r="W57" s="1822">
        <v>45.6</v>
      </c>
      <c r="X57" s="1822">
        <v>504.79</v>
      </c>
    </row>
    <row r="58" spans="1:24" ht="33" customHeight="1">
      <c r="A58" s="1651" t="s">
        <v>221</v>
      </c>
      <c r="B58" s="1304">
        <v>92768</v>
      </c>
      <c r="C58" s="1311" t="s">
        <v>2222</v>
      </c>
      <c r="D58" s="1304" t="s">
        <v>100</v>
      </c>
      <c r="E58" s="1314">
        <v>15.75</v>
      </c>
      <c r="F58" s="1320">
        <f>VLOOKUP(B58,'CADERNO DE COMPOSIÇÃO'!$A$8:$J$15448,10,FALSE)</f>
        <v>15.65</v>
      </c>
      <c r="G58" s="1372">
        <f t="shared" si="9"/>
        <v>113.63</v>
      </c>
      <c r="H58" s="1381">
        <v>113.63</v>
      </c>
      <c r="I58" s="1374">
        <f t="shared" si="14"/>
        <v>19.12</v>
      </c>
      <c r="J58" s="77">
        <f t="shared" si="15"/>
        <v>2172.6</v>
      </c>
      <c r="K58" s="323"/>
      <c r="L58" s="199"/>
      <c r="Q58" t="str">
        <f t="shared" si="0"/>
        <v>ok</v>
      </c>
      <c r="R58" t="str">
        <f t="shared" si="1"/>
        <v>ok</v>
      </c>
      <c r="S58" t="str">
        <f t="shared" si="2"/>
        <v>ok</v>
      </c>
      <c r="T58" t="str">
        <f t="shared" si="3"/>
        <v>ok</v>
      </c>
      <c r="U58" s="99">
        <v>15.75</v>
      </c>
      <c r="V58" s="1822">
        <v>113.63</v>
      </c>
      <c r="W58" s="1822">
        <v>19.25</v>
      </c>
      <c r="X58" s="1822">
        <v>2187.37</v>
      </c>
    </row>
    <row r="59" spans="1:24" ht="32.25" customHeight="1">
      <c r="A59" s="1651" t="s">
        <v>222</v>
      </c>
      <c r="B59" s="1304">
        <v>92769</v>
      </c>
      <c r="C59" s="1311" t="s">
        <v>2223</v>
      </c>
      <c r="D59" s="1304" t="s">
        <v>100</v>
      </c>
      <c r="E59" s="1314">
        <v>15.41</v>
      </c>
      <c r="F59" s="1320">
        <f>VLOOKUP(B59,'CADERNO DE COMPOSIÇÃO'!$A$8:$J$15448,10,FALSE)</f>
        <v>15.309999999999999</v>
      </c>
      <c r="G59" s="1372">
        <f t="shared" si="9"/>
        <v>322</v>
      </c>
      <c r="H59" s="1381">
        <v>322</v>
      </c>
      <c r="I59" s="1374">
        <f t="shared" si="14"/>
        <v>18.71</v>
      </c>
      <c r="J59" s="77">
        <f t="shared" si="15"/>
        <v>6024.62</v>
      </c>
      <c r="K59" s="323"/>
      <c r="L59" s="199"/>
      <c r="Q59" t="str">
        <f t="shared" si="0"/>
        <v>ok</v>
      </c>
      <c r="R59" t="str">
        <f t="shared" si="1"/>
        <v>ok</v>
      </c>
      <c r="S59" t="str">
        <f t="shared" si="2"/>
        <v>ok</v>
      </c>
      <c r="T59" t="str">
        <f t="shared" si="3"/>
        <v>ok</v>
      </c>
      <c r="U59" s="99">
        <v>15.41</v>
      </c>
      <c r="V59" s="1822">
        <v>322</v>
      </c>
      <c r="W59" s="1822">
        <v>18.829999999999998</v>
      </c>
      <c r="X59" s="1822">
        <v>6063.26</v>
      </c>
    </row>
    <row r="60" spans="1:24" ht="33" customHeight="1">
      <c r="A60" s="1651" t="s">
        <v>223</v>
      </c>
      <c r="B60" s="1304">
        <v>92770</v>
      </c>
      <c r="C60" s="1311" t="s">
        <v>2224</v>
      </c>
      <c r="D60" s="1304" t="s">
        <v>100</v>
      </c>
      <c r="E60" s="1314">
        <v>14.86</v>
      </c>
      <c r="F60" s="1320">
        <f>VLOOKUP(B60,'CADERNO DE COMPOSIÇÃO'!$A$8:$J$15448,10,FALSE)</f>
        <v>14.77</v>
      </c>
      <c r="G60" s="1372">
        <f t="shared" si="9"/>
        <v>28.07</v>
      </c>
      <c r="H60" s="1381">
        <v>28.07</v>
      </c>
      <c r="I60" s="1374">
        <f t="shared" si="14"/>
        <v>18.05</v>
      </c>
      <c r="J60" s="77">
        <f t="shared" si="15"/>
        <v>506.66</v>
      </c>
      <c r="K60" s="323"/>
      <c r="L60" s="199"/>
      <c r="Q60" t="str">
        <f t="shared" si="0"/>
        <v>ok</v>
      </c>
      <c r="R60" t="str">
        <f t="shared" si="1"/>
        <v>ok</v>
      </c>
      <c r="S60" t="str">
        <f t="shared" si="2"/>
        <v>ok</v>
      </c>
      <c r="T60" t="str">
        <f t="shared" si="3"/>
        <v>ok</v>
      </c>
      <c r="U60" s="99">
        <v>14.86</v>
      </c>
      <c r="V60" s="1822">
        <v>28.07</v>
      </c>
      <c r="W60" s="1822">
        <v>18.16</v>
      </c>
      <c r="X60" s="1822">
        <v>509.75</v>
      </c>
    </row>
    <row r="61" spans="1:24" ht="46.5" customHeight="1">
      <c r="A61" s="1651" t="s">
        <v>224</v>
      </c>
      <c r="B61" s="1304">
        <v>102730</v>
      </c>
      <c r="C61" s="1311" t="s">
        <v>1369</v>
      </c>
      <c r="D61" s="1304" t="s">
        <v>100</v>
      </c>
      <c r="E61" s="1314">
        <v>14.64</v>
      </c>
      <c r="F61" s="1320">
        <f>VLOOKUP(B61,'CADERNO DE COMPOSIÇÃO'!$A$8:$J$15448,10,FALSE)</f>
        <v>14.56</v>
      </c>
      <c r="G61" s="1372">
        <f t="shared" si="9"/>
        <v>103.3</v>
      </c>
      <c r="H61" s="1381">
        <v>103.3</v>
      </c>
      <c r="I61" s="1374">
        <f t="shared" si="14"/>
        <v>17.79</v>
      </c>
      <c r="J61" s="77">
        <f t="shared" si="15"/>
        <v>1837.7</v>
      </c>
      <c r="K61" s="323"/>
      <c r="L61" s="199"/>
      <c r="Q61" t="str">
        <f t="shared" si="0"/>
        <v>ok</v>
      </c>
      <c r="R61" t="str">
        <f t="shared" si="1"/>
        <v>ok</v>
      </c>
      <c r="S61" t="str">
        <f t="shared" si="2"/>
        <v>ok</v>
      </c>
      <c r="T61" t="str">
        <f t="shared" si="3"/>
        <v>ok</v>
      </c>
      <c r="U61" s="99">
        <v>14.64</v>
      </c>
      <c r="V61" s="1822">
        <v>103.3</v>
      </c>
      <c r="W61" s="1822">
        <v>17.89</v>
      </c>
      <c r="X61" s="1822">
        <v>1848.03</v>
      </c>
    </row>
    <row r="62" spans="1:24" ht="46.5" customHeight="1">
      <c r="A62" s="1651" t="s">
        <v>225</v>
      </c>
      <c r="B62" s="1304">
        <v>102731</v>
      </c>
      <c r="C62" s="1311" t="s">
        <v>1370</v>
      </c>
      <c r="D62" s="1304" t="s">
        <v>100</v>
      </c>
      <c r="E62" s="1314">
        <v>12.41</v>
      </c>
      <c r="F62" s="1320">
        <f>VLOOKUP(B62,'CADERNO DE COMPOSIÇÃO'!$A$8:$J$15448,10,FALSE)</f>
        <v>12.33</v>
      </c>
      <c r="G62" s="1372">
        <f t="shared" si="9"/>
        <v>114.3</v>
      </c>
      <c r="H62" s="1381">
        <v>114.3</v>
      </c>
      <c r="I62" s="1374">
        <f t="shared" si="14"/>
        <v>15.07</v>
      </c>
      <c r="J62" s="77">
        <f t="shared" si="15"/>
        <v>1722.5</v>
      </c>
      <c r="K62" s="323"/>
      <c r="L62" s="199">
        <f>TRUNC(SUM(J55:J62),2)</f>
        <v>23970.65</v>
      </c>
      <c r="Q62" t="str">
        <f t="shared" si="0"/>
        <v>ok</v>
      </c>
      <c r="R62" t="str">
        <f t="shared" si="1"/>
        <v>ok</v>
      </c>
      <c r="S62" t="str">
        <f t="shared" si="2"/>
        <v>ok</v>
      </c>
      <c r="T62" t="str">
        <f t="shared" si="3"/>
        <v>ok</v>
      </c>
      <c r="U62" s="99">
        <v>12.41</v>
      </c>
      <c r="V62" s="1822">
        <v>114.3</v>
      </c>
      <c r="W62" s="1822">
        <v>15.16</v>
      </c>
      <c r="X62" s="1822">
        <v>1732.78</v>
      </c>
    </row>
    <row r="63" spans="1:24" ht="13.5" customHeight="1">
      <c r="A63" s="1649" t="s">
        <v>22</v>
      </c>
      <c r="B63" s="1629"/>
      <c r="C63" s="1630" t="s">
        <v>1368</v>
      </c>
      <c r="D63" s="1629"/>
      <c r="E63" s="1631"/>
      <c r="F63" s="1631"/>
      <c r="G63" s="1632" t="str">
        <f t="shared" si="9"/>
        <v xml:space="preserve"> </v>
      </c>
      <c r="H63" s="1628"/>
      <c r="I63" s="1628" t="str">
        <f>IF(OR(E63&lt;=0)," ",TRUNC((E63*(1+$J$11)),2))</f>
        <v xml:space="preserve"> </v>
      </c>
      <c r="J63" s="178" t="str">
        <f>IF(OR(E63&lt;=0)," ",TRUNC((I63*G63),2))</f>
        <v xml:space="preserve"> </v>
      </c>
      <c r="K63" s="516" t="s">
        <v>457</v>
      </c>
      <c r="L63" s="199"/>
      <c r="Q63" t="str">
        <f t="shared" si="0"/>
        <v>ok</v>
      </c>
      <c r="R63" t="str">
        <f t="shared" si="1"/>
        <v>ok</v>
      </c>
      <c r="S63" t="str">
        <f t="shared" si="2"/>
        <v>ok</v>
      </c>
      <c r="T63" t="str">
        <f t="shared" si="3"/>
        <v>ok</v>
      </c>
      <c r="U63" s="99"/>
      <c r="V63" s="1822" t="s">
        <v>42</v>
      </c>
      <c r="W63" s="1822" t="s">
        <v>42</v>
      </c>
      <c r="X63" s="1822" t="s">
        <v>42</v>
      </c>
    </row>
    <row r="64" spans="1:24" ht="28.5" customHeight="1">
      <c r="A64" s="1651" t="s">
        <v>227</v>
      </c>
      <c r="B64" s="1495" t="s">
        <v>1218</v>
      </c>
      <c r="C64" s="1311" t="s">
        <v>1432</v>
      </c>
      <c r="D64" s="1319" t="s">
        <v>46</v>
      </c>
      <c r="E64" s="1314">
        <f>K64</f>
        <v>161.19999999999999</v>
      </c>
      <c r="F64" s="1320">
        <f>VLOOKUP(B64,'CADERNO DE COMPOSIÇÃO'!$A$8:$J$15448,10,FALSE)</f>
        <v>160.47</v>
      </c>
      <c r="G64" s="1372">
        <f t="shared" si="9"/>
        <v>209</v>
      </c>
      <c r="H64" s="1381">
        <v>209</v>
      </c>
      <c r="I64" s="1374">
        <f t="shared" ref="I64:I68" si="16">TRUNC(F64*(1+$J$11),2)</f>
        <v>196.14</v>
      </c>
      <c r="J64" s="77">
        <f t="shared" ref="J64:J68" si="17">TRUNC(I64*G64,2)</f>
        <v>40993.26</v>
      </c>
      <c r="K64" s="333">
        <f>'COMP ESTRUT'!F73</f>
        <v>161.19999999999999</v>
      </c>
      <c r="L64" s="386" t="s">
        <v>2050</v>
      </c>
      <c r="Q64" t="str">
        <f t="shared" si="0"/>
        <v>ok</v>
      </c>
      <c r="R64" t="str">
        <f t="shared" si="1"/>
        <v>ok</v>
      </c>
      <c r="S64" t="str">
        <f t="shared" si="2"/>
        <v>ok</v>
      </c>
      <c r="T64" t="str">
        <f t="shared" si="3"/>
        <v>ok</v>
      </c>
      <c r="U64" s="99">
        <v>161.19999999999999</v>
      </c>
      <c r="V64" s="1822">
        <v>209</v>
      </c>
      <c r="W64" s="1822">
        <v>197.03</v>
      </c>
      <c r="X64" s="1822">
        <v>41179.269999999997</v>
      </c>
    </row>
    <row r="65" spans="1:24" ht="31.5" customHeight="1">
      <c r="A65" s="1651" t="s">
        <v>228</v>
      </c>
      <c r="B65" s="1304">
        <v>92768</v>
      </c>
      <c r="C65" s="1311" t="s">
        <v>2222</v>
      </c>
      <c r="D65" s="1304" t="s">
        <v>100</v>
      </c>
      <c r="E65" s="1314">
        <v>15.75</v>
      </c>
      <c r="F65" s="1320">
        <f>VLOOKUP(B65,'CADERNO DE COMPOSIÇÃO'!$A$8:$J$15448,10,FALSE)</f>
        <v>15.65</v>
      </c>
      <c r="G65" s="1372">
        <f t="shared" si="9"/>
        <v>97.45</v>
      </c>
      <c r="H65" s="1381">
        <v>97.45</v>
      </c>
      <c r="I65" s="1374">
        <f t="shared" si="16"/>
        <v>19.12</v>
      </c>
      <c r="J65" s="77">
        <f t="shared" si="17"/>
        <v>1863.24</v>
      </c>
      <c r="K65" s="199"/>
      <c r="L65" s="201"/>
      <c r="Q65" t="str">
        <f t="shared" si="0"/>
        <v>ok</v>
      </c>
      <c r="R65" t="str">
        <f t="shared" si="1"/>
        <v>ok</v>
      </c>
      <c r="S65" t="str">
        <f t="shared" si="2"/>
        <v>ok</v>
      </c>
      <c r="T65" t="str">
        <f t="shared" si="3"/>
        <v>ok</v>
      </c>
      <c r="U65" s="99">
        <v>15.75</v>
      </c>
      <c r="V65" s="1822">
        <v>97.45</v>
      </c>
      <c r="W65" s="1822">
        <v>19.25</v>
      </c>
      <c r="X65" s="1822">
        <v>1875.91</v>
      </c>
    </row>
    <row r="66" spans="1:24" ht="35.25" customHeight="1">
      <c r="A66" s="1651" t="s">
        <v>229</v>
      </c>
      <c r="B66" s="1304">
        <v>92769</v>
      </c>
      <c r="C66" s="1311" t="s">
        <v>2223</v>
      </c>
      <c r="D66" s="1304" t="s">
        <v>100</v>
      </c>
      <c r="E66" s="1314">
        <v>15.41</v>
      </c>
      <c r="F66" s="1320">
        <f>VLOOKUP(B66,'CADERNO DE COMPOSIÇÃO'!$A$8:$J$15448,10,FALSE)</f>
        <v>15.309999999999999</v>
      </c>
      <c r="G66" s="1372">
        <f t="shared" si="9"/>
        <v>160</v>
      </c>
      <c r="H66" s="1381">
        <v>160</v>
      </c>
      <c r="I66" s="1374">
        <f t="shared" si="16"/>
        <v>18.71</v>
      </c>
      <c r="J66" s="77">
        <f t="shared" si="17"/>
        <v>2993.6</v>
      </c>
      <c r="K66" s="199"/>
      <c r="L66" s="201"/>
      <c r="Q66" t="str">
        <f t="shared" si="0"/>
        <v>ok</v>
      </c>
      <c r="R66" t="str">
        <f t="shared" si="1"/>
        <v>ok</v>
      </c>
      <c r="S66" t="str">
        <f t="shared" si="2"/>
        <v>ok</v>
      </c>
      <c r="T66" t="str">
        <f t="shared" si="3"/>
        <v>ok</v>
      </c>
      <c r="U66" s="99">
        <v>15.41</v>
      </c>
      <c r="V66" s="1822">
        <v>160</v>
      </c>
      <c r="W66" s="1822">
        <v>18.829999999999998</v>
      </c>
      <c r="X66" s="1822">
        <v>3012.8</v>
      </c>
    </row>
    <row r="67" spans="1:24" ht="35.25" customHeight="1">
      <c r="A67" s="1651" t="s">
        <v>230</v>
      </c>
      <c r="B67" s="1304">
        <v>92770</v>
      </c>
      <c r="C67" s="1311" t="s">
        <v>2223</v>
      </c>
      <c r="D67" s="1304" t="s">
        <v>100</v>
      </c>
      <c r="E67" s="1314">
        <v>14.86</v>
      </c>
      <c r="F67" s="1320">
        <f>VLOOKUP(B67,'CADERNO DE COMPOSIÇÃO'!$A$8:$J$15448,10,FALSE)</f>
        <v>14.77</v>
      </c>
      <c r="G67" s="1372">
        <f t="shared" si="9"/>
        <v>73.03</v>
      </c>
      <c r="H67" s="1381">
        <v>73.03</v>
      </c>
      <c r="I67" s="1374">
        <f t="shared" si="16"/>
        <v>18.05</v>
      </c>
      <c r="J67" s="77">
        <f t="shared" si="17"/>
        <v>1318.19</v>
      </c>
      <c r="K67" s="199"/>
      <c r="L67" s="315"/>
      <c r="Q67" t="str">
        <f t="shared" si="0"/>
        <v>ok</v>
      </c>
      <c r="R67" t="str">
        <f t="shared" si="1"/>
        <v>ok</v>
      </c>
      <c r="S67" t="str">
        <f t="shared" si="2"/>
        <v>ok</v>
      </c>
      <c r="T67" t="str">
        <f t="shared" si="3"/>
        <v>ok</v>
      </c>
      <c r="U67" s="99">
        <v>14.86</v>
      </c>
      <c r="V67" s="1822">
        <v>73.03</v>
      </c>
      <c r="W67" s="1822">
        <v>18.16</v>
      </c>
      <c r="X67" s="1822">
        <v>1326.22</v>
      </c>
    </row>
    <row r="68" spans="1:24" ht="47.25" customHeight="1">
      <c r="A68" s="1651" t="s">
        <v>231</v>
      </c>
      <c r="B68" s="1304">
        <v>102730</v>
      </c>
      <c r="C68" s="1311" t="s">
        <v>1369</v>
      </c>
      <c r="D68" s="1304" t="s">
        <v>100</v>
      </c>
      <c r="E68" s="1314">
        <v>14.64</v>
      </c>
      <c r="F68" s="1320">
        <f>VLOOKUP(B68,'CADERNO DE COMPOSIÇÃO'!$A$8:$J$15448,10,FALSE)</f>
        <v>14.56</v>
      </c>
      <c r="G68" s="1372">
        <f t="shared" si="9"/>
        <v>11.8</v>
      </c>
      <c r="H68" s="1381">
        <v>11.8</v>
      </c>
      <c r="I68" s="1374">
        <f t="shared" si="16"/>
        <v>17.79</v>
      </c>
      <c r="J68" s="77">
        <f t="shared" si="17"/>
        <v>209.92</v>
      </c>
      <c r="K68" s="199"/>
      <c r="L68" s="326">
        <f>TRUNC(SUM(J64:J68),2)</f>
        <v>47378.21</v>
      </c>
      <c r="Q68" t="str">
        <f t="shared" si="0"/>
        <v>ok</v>
      </c>
      <c r="R68" t="str">
        <f t="shared" si="1"/>
        <v>ok</v>
      </c>
      <c r="S68" t="str">
        <f t="shared" si="2"/>
        <v>ok</v>
      </c>
      <c r="T68" t="str">
        <f t="shared" si="3"/>
        <v>ok</v>
      </c>
      <c r="U68" s="99">
        <v>14.64</v>
      </c>
      <c r="V68" s="1822">
        <v>11.8</v>
      </c>
      <c r="W68" s="1822">
        <v>17.89</v>
      </c>
      <c r="X68" s="1822">
        <v>211.1</v>
      </c>
    </row>
    <row r="69" spans="1:24">
      <c r="A69" s="1649" t="s">
        <v>22</v>
      </c>
      <c r="B69" s="1629"/>
      <c r="C69" s="1630" t="s">
        <v>226</v>
      </c>
      <c r="D69" s="1629"/>
      <c r="E69" s="1631"/>
      <c r="F69" s="1631"/>
      <c r="G69" s="1632" t="str">
        <f t="shared" si="9"/>
        <v xml:space="preserve"> </v>
      </c>
      <c r="H69" s="1628"/>
      <c r="I69" s="1628" t="str">
        <f>IF(OR(E69&lt;=0)," ",TRUNC((E69*(1+$J$11)),2))</f>
        <v xml:space="preserve"> </v>
      </c>
      <c r="J69" s="178" t="str">
        <f>IF(OR(E69&lt;=0)," ",TRUNC((I69*G69),2))</f>
        <v xml:space="preserve"> </v>
      </c>
      <c r="K69" s="516" t="s">
        <v>457</v>
      </c>
      <c r="L69" s="53"/>
      <c r="Q69" t="str">
        <f t="shared" si="0"/>
        <v>ok</v>
      </c>
      <c r="R69" t="str">
        <f t="shared" si="1"/>
        <v>ok</v>
      </c>
      <c r="S69" t="str">
        <f t="shared" si="2"/>
        <v>ok</v>
      </c>
      <c r="T69" t="str">
        <f t="shared" si="3"/>
        <v>ok</v>
      </c>
      <c r="U69" s="99"/>
      <c r="V69" s="1822" t="s">
        <v>42</v>
      </c>
      <c r="W69" s="1822" t="s">
        <v>42</v>
      </c>
      <c r="X69" s="1822" t="s">
        <v>42</v>
      </c>
    </row>
    <row r="70" spans="1:24" ht="58.5" customHeight="1">
      <c r="A70" s="1092" t="s">
        <v>227</v>
      </c>
      <c r="B70" s="1032">
        <v>92431</v>
      </c>
      <c r="C70" s="1093" t="s">
        <v>425</v>
      </c>
      <c r="D70" s="1032" t="s">
        <v>46</v>
      </c>
      <c r="E70" s="1073">
        <v>66.599999999999994</v>
      </c>
      <c r="F70" s="1320">
        <f>VLOOKUP(B70,'CADERNO DE COMPOSIÇÃO'!$A$8:$J$15448,10,FALSE)</f>
        <v>66.34</v>
      </c>
      <c r="G70" s="1079">
        <f t="shared" si="9"/>
        <v>193.57</v>
      </c>
      <c r="H70" s="1381">
        <v>193.57</v>
      </c>
      <c r="I70" s="1034">
        <f t="shared" ref="I70:I76" si="18">TRUNC(F70*(1+$J$11),2)</f>
        <v>81.08</v>
      </c>
      <c r="J70" s="1037">
        <f t="shared" ref="J70:J76" si="19">TRUNC(I70*G70,2)</f>
        <v>15694.65</v>
      </c>
      <c r="K70" s="199"/>
      <c r="L70" s="53"/>
      <c r="Q70" t="str">
        <f t="shared" si="0"/>
        <v>ok</v>
      </c>
      <c r="R70" t="str">
        <f t="shared" si="1"/>
        <v>ok</v>
      </c>
      <c r="S70" t="str">
        <f t="shared" si="2"/>
        <v>ok</v>
      </c>
      <c r="T70" t="str">
        <f t="shared" si="3"/>
        <v>ok</v>
      </c>
      <c r="U70" s="99">
        <v>66.599999999999994</v>
      </c>
      <c r="V70" s="1822">
        <v>193.57</v>
      </c>
      <c r="W70" s="1822">
        <v>81.400000000000006</v>
      </c>
      <c r="X70" s="1822">
        <v>15756.59</v>
      </c>
    </row>
    <row r="71" spans="1:24" ht="37.5" customHeight="1">
      <c r="A71" s="1651" t="s">
        <v>228</v>
      </c>
      <c r="B71" s="1304">
        <v>94965</v>
      </c>
      <c r="C71" s="1311" t="s">
        <v>420</v>
      </c>
      <c r="D71" s="1316" t="s">
        <v>47</v>
      </c>
      <c r="E71" s="1314">
        <v>568</v>
      </c>
      <c r="F71" s="1320">
        <f>VLOOKUP(B71,'CADERNO DE COMPOSIÇÃO'!$A$8:$J$15448,10,FALSE)</f>
        <v>563.54999999999995</v>
      </c>
      <c r="G71" s="1372">
        <f t="shared" si="9"/>
        <v>10.77</v>
      </c>
      <c r="H71" s="1381">
        <v>10.77</v>
      </c>
      <c r="I71" s="1374">
        <f t="shared" si="18"/>
        <v>688.82</v>
      </c>
      <c r="J71" s="77">
        <f t="shared" si="19"/>
        <v>7418.59</v>
      </c>
      <c r="K71" s="199"/>
      <c r="L71" s="53"/>
      <c r="Q71" t="str">
        <f t="shared" si="0"/>
        <v>ok</v>
      </c>
      <c r="R71" t="str">
        <f t="shared" si="1"/>
        <v>ok</v>
      </c>
      <c r="S71" t="str">
        <f t="shared" si="2"/>
        <v>ok</v>
      </c>
      <c r="T71" t="str">
        <f t="shared" si="3"/>
        <v>ok</v>
      </c>
      <c r="U71" s="99">
        <v>568</v>
      </c>
      <c r="V71" s="1822">
        <v>10.77</v>
      </c>
      <c r="W71" s="1822">
        <v>694.26</v>
      </c>
      <c r="X71" s="1822">
        <v>7477.18</v>
      </c>
    </row>
    <row r="72" spans="1:24" ht="28.5">
      <c r="A72" s="1123" t="s">
        <v>229</v>
      </c>
      <c r="B72" s="1588">
        <v>103673</v>
      </c>
      <c r="C72" s="1489" t="s">
        <v>421</v>
      </c>
      <c r="D72" s="1589" t="s">
        <v>47</v>
      </c>
      <c r="E72" s="1074">
        <v>37.31</v>
      </c>
      <c r="F72" s="1320">
        <f>VLOOKUP(B72,'CADERNO DE COMPOSIÇÃO'!$A$8:$J$15448,10,FALSE)</f>
        <v>37.31</v>
      </c>
      <c r="G72" s="1369">
        <f t="shared" si="9"/>
        <v>10.77</v>
      </c>
      <c r="H72" s="1381">
        <v>10.77</v>
      </c>
      <c r="I72" s="1370">
        <f t="shared" si="18"/>
        <v>45.6</v>
      </c>
      <c r="J72" s="1371">
        <f t="shared" si="19"/>
        <v>491.11</v>
      </c>
      <c r="K72" s="199"/>
      <c r="L72" s="53"/>
      <c r="Q72" t="str">
        <f t="shared" si="0"/>
        <v>ok</v>
      </c>
      <c r="R72" t="str">
        <f t="shared" si="1"/>
        <v>ok</v>
      </c>
      <c r="S72" t="str">
        <f t="shared" si="2"/>
        <v>ok</v>
      </c>
      <c r="T72" t="str">
        <f t="shared" si="3"/>
        <v>ok</v>
      </c>
      <c r="U72" s="99">
        <v>37.31</v>
      </c>
      <c r="V72" s="1822">
        <v>10.77</v>
      </c>
      <c r="W72" s="1822">
        <v>45.6</v>
      </c>
      <c r="X72" s="1822">
        <v>491.11</v>
      </c>
    </row>
    <row r="73" spans="1:24" ht="48.75" customHeight="1">
      <c r="A73" s="1651" t="s">
        <v>230</v>
      </c>
      <c r="B73" s="1304">
        <v>92759</v>
      </c>
      <c r="C73" s="1311" t="s">
        <v>2218</v>
      </c>
      <c r="D73" s="1304" t="s">
        <v>100</v>
      </c>
      <c r="E73" s="1314">
        <v>17.11</v>
      </c>
      <c r="F73" s="1320">
        <f>VLOOKUP(B73,'CADERNO DE COMPOSIÇÃO'!$A$8:$J$15448,10,FALSE)</f>
        <v>16.09</v>
      </c>
      <c r="G73" s="1372">
        <f t="shared" ref="G73:G104" si="20">IF(OR(E73&lt;=0)," ",TRUNC(H73,2))</f>
        <v>254.9</v>
      </c>
      <c r="H73" s="1381">
        <v>254.9</v>
      </c>
      <c r="I73" s="1374">
        <f t="shared" si="18"/>
        <v>19.66</v>
      </c>
      <c r="J73" s="77">
        <f t="shared" si="19"/>
        <v>5011.33</v>
      </c>
      <c r="K73" s="324"/>
      <c r="L73" s="53"/>
      <c r="Q73" t="str">
        <f t="shared" si="0"/>
        <v>ok</v>
      </c>
      <c r="R73" t="str">
        <f t="shared" si="1"/>
        <v>ok</v>
      </c>
      <c r="S73" t="str">
        <f t="shared" si="2"/>
        <v>ok</v>
      </c>
      <c r="T73" t="str">
        <f t="shared" si="3"/>
        <v>ok</v>
      </c>
      <c r="U73" s="99">
        <v>17.11</v>
      </c>
      <c r="V73" s="1822">
        <v>254.9</v>
      </c>
      <c r="W73" s="1822">
        <v>20.91</v>
      </c>
      <c r="X73" s="1822">
        <v>5329.95</v>
      </c>
    </row>
    <row r="74" spans="1:24" ht="42.75">
      <c r="A74" s="1651" t="s">
        <v>231</v>
      </c>
      <c r="B74" s="1304">
        <v>92762</v>
      </c>
      <c r="C74" s="1311" t="s">
        <v>2219</v>
      </c>
      <c r="D74" s="1304" t="s">
        <v>100</v>
      </c>
      <c r="E74" s="1314">
        <v>15.41</v>
      </c>
      <c r="F74" s="1320">
        <f>VLOOKUP(B74,'CADERNO DE COMPOSIÇÃO'!$A$8:$J$15448,10,FALSE)</f>
        <v>13.780000000000001</v>
      </c>
      <c r="G74" s="1372">
        <f t="shared" si="20"/>
        <v>574.1</v>
      </c>
      <c r="H74" s="1381">
        <v>574.1</v>
      </c>
      <c r="I74" s="1374">
        <f t="shared" si="18"/>
        <v>16.84</v>
      </c>
      <c r="J74" s="77">
        <f t="shared" si="19"/>
        <v>9667.84</v>
      </c>
      <c r="K74" s="324"/>
      <c r="L74" s="53"/>
      <c r="Q74" t="str">
        <f t="shared" si="0"/>
        <v>ok</v>
      </c>
      <c r="R74" t="str">
        <f t="shared" si="1"/>
        <v>ok</v>
      </c>
      <c r="S74" t="str">
        <f t="shared" si="2"/>
        <v>ok</v>
      </c>
      <c r="T74" t="str">
        <f t="shared" si="3"/>
        <v>ok</v>
      </c>
      <c r="U74" s="99">
        <v>15.41</v>
      </c>
      <c r="V74" s="1822">
        <v>574.1</v>
      </c>
      <c r="W74" s="1822">
        <v>18.829999999999998</v>
      </c>
      <c r="X74" s="1822">
        <v>10810.3</v>
      </c>
    </row>
    <row r="75" spans="1:24" ht="42.75">
      <c r="A75" s="1651" t="s">
        <v>1219</v>
      </c>
      <c r="B75" s="1304">
        <v>92763</v>
      </c>
      <c r="C75" s="1311" t="s">
        <v>2221</v>
      </c>
      <c r="D75" s="1304" t="s">
        <v>100</v>
      </c>
      <c r="E75" s="1314">
        <v>11.76</v>
      </c>
      <c r="F75" s="1320">
        <f>VLOOKUP(B75,'CADERNO DE COMPOSIÇÃO'!$A$8:$J$15448,10,FALSE)</f>
        <v>11.68</v>
      </c>
      <c r="G75" s="1372">
        <f t="shared" si="20"/>
        <v>11.1</v>
      </c>
      <c r="H75" s="1381">
        <v>11.1</v>
      </c>
      <c r="I75" s="1374">
        <f t="shared" si="18"/>
        <v>14.27</v>
      </c>
      <c r="J75" s="77">
        <f t="shared" si="19"/>
        <v>158.38999999999999</v>
      </c>
      <c r="K75" s="324"/>
      <c r="L75" s="53"/>
      <c r="Q75" t="str">
        <f t="shared" si="0"/>
        <v>ok</v>
      </c>
      <c r="R75" t="str">
        <f t="shared" si="1"/>
        <v>ok</v>
      </c>
      <c r="S75" t="str">
        <f t="shared" si="2"/>
        <v>ok</v>
      </c>
      <c r="T75" t="str">
        <f t="shared" si="3"/>
        <v>ok</v>
      </c>
      <c r="U75" s="99">
        <v>11.76</v>
      </c>
      <c r="V75" s="1822">
        <v>11.1</v>
      </c>
      <c r="W75" s="1822">
        <v>14.37</v>
      </c>
      <c r="X75" s="1822">
        <v>159.5</v>
      </c>
    </row>
    <row r="76" spans="1:24" ht="42.75">
      <c r="A76" s="1651" t="s">
        <v>1371</v>
      </c>
      <c r="B76" s="1304">
        <v>92764</v>
      </c>
      <c r="C76" s="1311" t="s">
        <v>2220</v>
      </c>
      <c r="D76" s="1304" t="s">
        <v>100</v>
      </c>
      <c r="E76" s="1314">
        <v>11.49</v>
      </c>
      <c r="F76" s="1320">
        <f>VLOOKUP(B76,'CADERNO DE COMPOSIÇÃO'!$A$8:$J$15448,10,FALSE)</f>
        <v>11.42</v>
      </c>
      <c r="G76" s="1372">
        <f t="shared" si="20"/>
        <v>428.3</v>
      </c>
      <c r="H76" s="1381">
        <v>428.3</v>
      </c>
      <c r="I76" s="1374">
        <f t="shared" si="18"/>
        <v>13.95</v>
      </c>
      <c r="J76" s="77">
        <f t="shared" si="19"/>
        <v>5974.78</v>
      </c>
      <c r="K76" s="324"/>
      <c r="L76" s="199">
        <f>TRUNC(SUM(J70:J76),2)</f>
        <v>44416.69</v>
      </c>
      <c r="Q76" t="str">
        <f t="shared" si="0"/>
        <v>ok</v>
      </c>
      <c r="R76" t="str">
        <f t="shared" si="1"/>
        <v>ok</v>
      </c>
      <c r="S76" t="str">
        <f t="shared" si="2"/>
        <v>ok</v>
      </c>
      <c r="T76" t="str">
        <f t="shared" si="3"/>
        <v>ok</v>
      </c>
      <c r="U76" s="99">
        <v>11.49</v>
      </c>
      <c r="V76" s="1822">
        <v>428.3</v>
      </c>
      <c r="W76" s="1822">
        <v>14.04</v>
      </c>
      <c r="X76" s="1822">
        <v>6013.33</v>
      </c>
    </row>
    <row r="77" spans="1:24" ht="14.25" customHeight="1">
      <c r="A77" s="1649" t="s">
        <v>208</v>
      </c>
      <c r="B77" s="1629"/>
      <c r="C77" s="1630" t="s">
        <v>623</v>
      </c>
      <c r="D77" s="1629"/>
      <c r="E77" s="1631"/>
      <c r="F77" s="1631"/>
      <c r="G77" s="1632" t="str">
        <f t="shared" si="20"/>
        <v xml:space="preserve"> </v>
      </c>
      <c r="H77" s="1628"/>
      <c r="I77" s="1628" t="str">
        <f>IF(OR(E77&lt;=0)," ",TRUNC((E77*(1+$J$11)),2))</f>
        <v xml:space="preserve"> </v>
      </c>
      <c r="J77" s="178" t="str">
        <f>IF(OR(E77&lt;=0)," ",TRUNC((I77*G77),2))</f>
        <v xml:space="preserve"> </v>
      </c>
      <c r="K77" s="516" t="s">
        <v>457</v>
      </c>
      <c r="L77" s="53"/>
      <c r="Q77" t="str">
        <f t="shared" si="0"/>
        <v>ok</v>
      </c>
      <c r="R77" t="str">
        <f t="shared" si="1"/>
        <v>ok</v>
      </c>
      <c r="S77" t="str">
        <f t="shared" si="2"/>
        <v>ok</v>
      </c>
      <c r="T77" t="str">
        <f t="shared" si="3"/>
        <v>ok</v>
      </c>
      <c r="U77" s="99"/>
      <c r="V77" s="1822" t="s">
        <v>42</v>
      </c>
      <c r="W77" s="1822" t="s">
        <v>42</v>
      </c>
      <c r="X77" s="1822" t="s">
        <v>42</v>
      </c>
    </row>
    <row r="78" spans="1:24" ht="48" customHeight="1">
      <c r="A78" s="1651" t="s">
        <v>232</v>
      </c>
      <c r="B78" s="1304">
        <v>92479</v>
      </c>
      <c r="C78" s="1311" t="s">
        <v>424</v>
      </c>
      <c r="D78" s="1304" t="s">
        <v>46</v>
      </c>
      <c r="E78" s="1314">
        <v>80.47</v>
      </c>
      <c r="F78" s="1320">
        <f>VLOOKUP(B78,'CADERNO DE COMPOSIÇÃO'!$A$8:$J$15448,10,FALSE)</f>
        <v>80.14</v>
      </c>
      <c r="G78" s="1372">
        <f t="shared" si="20"/>
        <v>164.63</v>
      </c>
      <c r="H78" s="1381">
        <v>164.63</v>
      </c>
      <c r="I78" s="1374">
        <f t="shared" ref="I78:I87" si="21">TRUNC(F78*(1+$J$11),2)</f>
        <v>97.95</v>
      </c>
      <c r="J78" s="77">
        <f t="shared" ref="J78:J87" si="22">TRUNC(I78*G78,2)</f>
        <v>16125.5</v>
      </c>
      <c r="K78" s="325"/>
      <c r="L78" s="53"/>
      <c r="Q78" t="str">
        <f t="shared" si="0"/>
        <v>ok</v>
      </c>
      <c r="R78" t="str">
        <f t="shared" si="1"/>
        <v>ok</v>
      </c>
      <c r="S78" t="str">
        <f t="shared" si="2"/>
        <v>ok</v>
      </c>
      <c r="T78" t="str">
        <f t="shared" si="3"/>
        <v>ok</v>
      </c>
      <c r="U78" s="99">
        <v>80.47</v>
      </c>
      <c r="V78" s="1822">
        <v>164.63</v>
      </c>
      <c r="W78" s="1822">
        <v>98.35</v>
      </c>
      <c r="X78" s="1822">
        <v>16191.36</v>
      </c>
    </row>
    <row r="79" spans="1:24" ht="30.75" customHeight="1">
      <c r="A79" s="1651" t="s">
        <v>233</v>
      </c>
      <c r="B79" s="1304">
        <v>94965</v>
      </c>
      <c r="C79" s="1311" t="s">
        <v>420</v>
      </c>
      <c r="D79" s="1316" t="s">
        <v>47</v>
      </c>
      <c r="E79" s="1314">
        <v>568</v>
      </c>
      <c r="F79" s="1320">
        <f>VLOOKUP(B79,'CADERNO DE COMPOSIÇÃO'!$A$8:$J$15448,10,FALSE)</f>
        <v>563.54999999999995</v>
      </c>
      <c r="G79" s="1372">
        <f t="shared" si="20"/>
        <v>10.77</v>
      </c>
      <c r="H79" s="1381">
        <v>10.77</v>
      </c>
      <c r="I79" s="1374">
        <f t="shared" si="21"/>
        <v>688.82</v>
      </c>
      <c r="J79" s="77">
        <f t="shared" si="22"/>
        <v>7418.59</v>
      </c>
      <c r="K79" s="325"/>
      <c r="L79" s="53"/>
      <c r="Q79" t="str">
        <f t="shared" si="0"/>
        <v>ok</v>
      </c>
      <c r="R79" t="str">
        <f t="shared" si="1"/>
        <v>ok</v>
      </c>
      <c r="S79" t="str">
        <f t="shared" si="2"/>
        <v>ok</v>
      </c>
      <c r="T79" t="str">
        <f t="shared" si="3"/>
        <v>ok</v>
      </c>
      <c r="U79" s="99">
        <v>568</v>
      </c>
      <c r="V79" s="1822">
        <v>10.77</v>
      </c>
      <c r="W79" s="1822">
        <v>694.26</v>
      </c>
      <c r="X79" s="1822">
        <v>7477.18</v>
      </c>
    </row>
    <row r="80" spans="1:24" ht="30.75" customHeight="1">
      <c r="A80" s="1651" t="s">
        <v>234</v>
      </c>
      <c r="B80" s="1304">
        <v>103673</v>
      </c>
      <c r="C80" s="1311" t="s">
        <v>2384</v>
      </c>
      <c r="D80" s="1316" t="s">
        <v>47</v>
      </c>
      <c r="E80" s="1314">
        <v>37.31</v>
      </c>
      <c r="F80" s="1320">
        <f>VLOOKUP(B80,'CADERNO DE COMPOSIÇÃO'!$A$8:$J$15448,10,FALSE)</f>
        <v>37.31</v>
      </c>
      <c r="G80" s="1372">
        <f t="shared" si="20"/>
        <v>10.77</v>
      </c>
      <c r="H80" s="1381">
        <v>10.77</v>
      </c>
      <c r="I80" s="1374">
        <f t="shared" si="21"/>
        <v>45.6</v>
      </c>
      <c r="J80" s="77">
        <f t="shared" si="22"/>
        <v>491.11</v>
      </c>
      <c r="K80" s="325"/>
      <c r="L80" s="53"/>
      <c r="Q80" t="str">
        <f t="shared" si="0"/>
        <v>ok</v>
      </c>
      <c r="R80" t="str">
        <f t="shared" si="1"/>
        <v>ok</v>
      </c>
      <c r="S80" t="str">
        <f t="shared" si="2"/>
        <v>ok</v>
      </c>
      <c r="T80" t="str">
        <f t="shared" si="3"/>
        <v>ok</v>
      </c>
      <c r="U80" s="99">
        <v>37.31</v>
      </c>
      <c r="V80" s="1822">
        <v>10.77</v>
      </c>
      <c r="W80" s="1822">
        <v>45.6</v>
      </c>
      <c r="X80" s="1822">
        <v>491.11</v>
      </c>
    </row>
    <row r="81" spans="1:24" ht="48" customHeight="1">
      <c r="A81" s="1651" t="s">
        <v>235</v>
      </c>
      <c r="B81" s="1304">
        <v>92759</v>
      </c>
      <c r="C81" s="1311" t="s">
        <v>2218</v>
      </c>
      <c r="D81" s="1304" t="s">
        <v>100</v>
      </c>
      <c r="E81" s="1314">
        <v>16.190000000000001</v>
      </c>
      <c r="F81" s="1320">
        <f>VLOOKUP(B81,'CADERNO DE COMPOSIÇÃO'!$A$8:$J$15448,10,FALSE)</f>
        <v>16.09</v>
      </c>
      <c r="G81" s="1372">
        <f t="shared" si="20"/>
        <v>137.9</v>
      </c>
      <c r="H81" s="1381">
        <v>137.9</v>
      </c>
      <c r="I81" s="1374">
        <f t="shared" si="21"/>
        <v>19.66</v>
      </c>
      <c r="J81" s="77">
        <f t="shared" si="22"/>
        <v>2711.11</v>
      </c>
      <c r="K81" s="325"/>
      <c r="L81" s="429"/>
      <c r="Q81" t="str">
        <f t="shared" si="0"/>
        <v>ok</v>
      </c>
      <c r="R81" t="str">
        <f t="shared" si="1"/>
        <v>ok</v>
      </c>
      <c r="S81" t="str">
        <f t="shared" si="2"/>
        <v>ok</v>
      </c>
      <c r="T81" t="str">
        <f t="shared" si="3"/>
        <v>ok</v>
      </c>
      <c r="U81" s="99">
        <v>16.190000000000001</v>
      </c>
      <c r="V81" s="1822">
        <v>137.9</v>
      </c>
      <c r="W81" s="1822">
        <v>19.78</v>
      </c>
      <c r="X81" s="1822">
        <v>2727.66</v>
      </c>
    </row>
    <row r="82" spans="1:24" ht="33.75" customHeight="1">
      <c r="A82" s="1651" t="s">
        <v>236</v>
      </c>
      <c r="B82" s="1304">
        <v>92760</v>
      </c>
      <c r="C82" s="1311" t="s">
        <v>2386</v>
      </c>
      <c r="D82" s="1304" t="s">
        <v>100</v>
      </c>
      <c r="E82" s="1314">
        <v>15.87</v>
      </c>
      <c r="F82" s="1320">
        <f>VLOOKUP(B82,'CADERNO DE COMPOSIÇÃO'!$A$8:$J$15448,10,FALSE)</f>
        <v>15.78</v>
      </c>
      <c r="G82" s="1372">
        <f t="shared" si="20"/>
        <v>131.5</v>
      </c>
      <c r="H82" s="1381">
        <v>131.5</v>
      </c>
      <c r="I82" s="1374">
        <f t="shared" si="21"/>
        <v>19.28</v>
      </c>
      <c r="J82" s="77">
        <f t="shared" si="22"/>
        <v>2535.3200000000002</v>
      </c>
      <c r="K82" s="325"/>
      <c r="L82" s="429"/>
      <c r="Q82" t="str">
        <f t="shared" ref="Q82:Q145" si="23">IF(F82&gt;U82,"CONFERIR","ok")</f>
        <v>ok</v>
      </c>
      <c r="R82" t="str">
        <f t="shared" ref="R82:R145" si="24">IF(G82&gt;V82,"CONFERIR","ok")</f>
        <v>ok</v>
      </c>
      <c r="S82" t="str">
        <f t="shared" ref="S82:S145" si="25">IF(I82&gt;W82,"CONFERIR","ok")</f>
        <v>ok</v>
      </c>
      <c r="T82" t="str">
        <f t="shared" ref="T82:T145" si="26">IF(J82&gt;X82,"CONFERIR","ok")</f>
        <v>ok</v>
      </c>
      <c r="U82" s="99">
        <v>15.87</v>
      </c>
      <c r="V82" s="1822">
        <v>131.5</v>
      </c>
      <c r="W82" s="1822">
        <v>19.39</v>
      </c>
      <c r="X82" s="1822">
        <v>2549.7800000000002</v>
      </c>
    </row>
    <row r="83" spans="1:24" ht="36.75" customHeight="1">
      <c r="A83" s="1651" t="s">
        <v>237</v>
      </c>
      <c r="B83" s="1304">
        <v>92761</v>
      </c>
      <c r="C83" s="1311" t="s">
        <v>2387</v>
      </c>
      <c r="D83" s="1304" t="s">
        <v>100</v>
      </c>
      <c r="E83" s="1314">
        <v>15.3</v>
      </c>
      <c r="F83" s="1320">
        <f>VLOOKUP(B83,'CADERNO DE COMPOSIÇÃO'!$A$8:$J$15448,10,FALSE)</f>
        <v>15.21</v>
      </c>
      <c r="G83" s="1372">
        <f t="shared" si="20"/>
        <v>54.8</v>
      </c>
      <c r="H83" s="1381">
        <v>54.8</v>
      </c>
      <c r="I83" s="1374">
        <f t="shared" si="21"/>
        <v>18.59</v>
      </c>
      <c r="J83" s="77">
        <f t="shared" si="22"/>
        <v>1018.73</v>
      </c>
      <c r="K83" s="325"/>
      <c r="L83" s="429"/>
      <c r="Q83" t="str">
        <f t="shared" si="23"/>
        <v>ok</v>
      </c>
      <c r="R83" t="str">
        <f t="shared" si="24"/>
        <v>ok</v>
      </c>
      <c r="S83" t="str">
        <f t="shared" si="25"/>
        <v>ok</v>
      </c>
      <c r="T83" t="str">
        <f t="shared" si="26"/>
        <v>ok</v>
      </c>
      <c r="U83" s="99">
        <v>15.3</v>
      </c>
      <c r="V83" s="1822">
        <v>54.8</v>
      </c>
      <c r="W83" s="1822">
        <v>18.7</v>
      </c>
      <c r="X83" s="1822">
        <v>1024.76</v>
      </c>
    </row>
    <row r="84" spans="1:24" ht="43.5" customHeight="1">
      <c r="A84" s="1651" t="s">
        <v>238</v>
      </c>
      <c r="B84" s="1304">
        <v>92762</v>
      </c>
      <c r="C84" s="1311" t="s">
        <v>2219</v>
      </c>
      <c r="D84" s="1304" t="s">
        <v>100</v>
      </c>
      <c r="E84" s="1314">
        <v>13.89</v>
      </c>
      <c r="F84" s="1320">
        <f>VLOOKUP(B84,'CADERNO DE COMPOSIÇÃO'!$A$8:$J$15448,10,FALSE)</f>
        <v>13.780000000000001</v>
      </c>
      <c r="G84" s="1372">
        <f t="shared" si="20"/>
        <v>329.4</v>
      </c>
      <c r="H84" s="1381">
        <v>329.4</v>
      </c>
      <c r="I84" s="1374">
        <f t="shared" si="21"/>
        <v>16.84</v>
      </c>
      <c r="J84" s="77">
        <f t="shared" si="22"/>
        <v>5547.09</v>
      </c>
      <c r="K84" s="326"/>
      <c r="L84" s="429"/>
      <c r="Q84" t="str">
        <f t="shared" si="23"/>
        <v>ok</v>
      </c>
      <c r="R84" t="str">
        <f t="shared" si="24"/>
        <v>ok</v>
      </c>
      <c r="S84" t="str">
        <f t="shared" si="25"/>
        <v>ok</v>
      </c>
      <c r="T84" t="str">
        <f t="shared" si="26"/>
        <v>ok</v>
      </c>
      <c r="U84" s="99">
        <v>13.89</v>
      </c>
      <c r="V84" s="1822">
        <v>329.4</v>
      </c>
      <c r="W84" s="1822">
        <v>16.97</v>
      </c>
      <c r="X84" s="1822">
        <v>5589.91</v>
      </c>
    </row>
    <row r="85" spans="1:24" ht="43.5" customHeight="1">
      <c r="A85" s="1651" t="s">
        <v>1220</v>
      </c>
      <c r="B85" s="1304">
        <v>92763</v>
      </c>
      <c r="C85" s="1311" t="s">
        <v>2221</v>
      </c>
      <c r="D85" s="1304" t="s">
        <v>100</v>
      </c>
      <c r="E85" s="1314">
        <v>11.76</v>
      </c>
      <c r="F85" s="1320">
        <f>VLOOKUP(B85,'CADERNO DE COMPOSIÇÃO'!$A$8:$J$15448,10,FALSE)</f>
        <v>11.68</v>
      </c>
      <c r="G85" s="1079">
        <f t="shared" si="20"/>
        <v>21.5</v>
      </c>
      <c r="H85" s="1381">
        <v>21.5</v>
      </c>
      <c r="I85" s="1034">
        <f t="shared" si="21"/>
        <v>14.27</v>
      </c>
      <c r="J85" s="1037">
        <f t="shared" si="22"/>
        <v>306.8</v>
      </c>
      <c r="K85" s="326"/>
      <c r="L85" s="429"/>
      <c r="Q85" t="str">
        <f t="shared" si="23"/>
        <v>ok</v>
      </c>
      <c r="R85" t="str">
        <f t="shared" si="24"/>
        <v>ok</v>
      </c>
      <c r="S85" t="str">
        <f t="shared" si="25"/>
        <v>ok</v>
      </c>
      <c r="T85" t="str">
        <f t="shared" si="26"/>
        <v>ok</v>
      </c>
      <c r="U85" s="99">
        <v>11.76</v>
      </c>
      <c r="V85" s="1822">
        <v>21.5</v>
      </c>
      <c r="W85" s="1822">
        <v>14.37</v>
      </c>
      <c r="X85" s="1822">
        <v>308.95</v>
      </c>
    </row>
    <row r="86" spans="1:24" ht="45.75" customHeight="1">
      <c r="A86" s="1651" t="s">
        <v>1221</v>
      </c>
      <c r="B86" s="1304">
        <v>92764</v>
      </c>
      <c r="C86" s="1322" t="s">
        <v>2220</v>
      </c>
      <c r="D86" s="1304" t="s">
        <v>100</v>
      </c>
      <c r="E86" s="1314">
        <v>11.49</v>
      </c>
      <c r="F86" s="1320">
        <f>VLOOKUP(B86,'CADERNO DE COMPOSIÇÃO'!$A$8:$J$15448,10,FALSE)</f>
        <v>11.42</v>
      </c>
      <c r="G86" s="1079">
        <f t="shared" si="20"/>
        <v>90.4</v>
      </c>
      <c r="H86" s="1381">
        <v>90.4</v>
      </c>
      <c r="I86" s="1034">
        <f t="shared" si="21"/>
        <v>13.95</v>
      </c>
      <c r="J86" s="1037">
        <f t="shared" si="22"/>
        <v>1261.08</v>
      </c>
      <c r="K86" s="326"/>
      <c r="L86" s="429"/>
      <c r="Q86" t="str">
        <f t="shared" si="23"/>
        <v>ok</v>
      </c>
      <c r="R86" t="str">
        <f t="shared" si="24"/>
        <v>ok</v>
      </c>
      <c r="S86" t="str">
        <f t="shared" si="25"/>
        <v>ok</v>
      </c>
      <c r="T86" t="str">
        <f t="shared" si="26"/>
        <v>ok</v>
      </c>
      <c r="U86" s="99">
        <v>11.49</v>
      </c>
      <c r="V86" s="1822">
        <v>90.4</v>
      </c>
      <c r="W86" s="1822">
        <v>14.04</v>
      </c>
      <c r="X86" s="1822">
        <v>1269.21</v>
      </c>
    </row>
    <row r="87" spans="1:24" ht="48" customHeight="1">
      <c r="A87" s="1092" t="s">
        <v>1222</v>
      </c>
      <c r="B87" s="1032">
        <v>92765</v>
      </c>
      <c r="C87" s="1093" t="s">
        <v>2388</v>
      </c>
      <c r="D87" s="1032" t="s">
        <v>100</v>
      </c>
      <c r="E87" s="1073">
        <v>13.2</v>
      </c>
      <c r="F87" s="1320">
        <f>VLOOKUP(B87,'CADERNO DE COMPOSIÇÃO'!$A$8:$J$15448,10,FALSE)</f>
        <v>13.120000000000001</v>
      </c>
      <c r="G87" s="1079">
        <f t="shared" si="20"/>
        <v>40.200000000000003</v>
      </c>
      <c r="H87" s="1080">
        <v>40.200000000000003</v>
      </c>
      <c r="I87" s="1034">
        <f t="shared" si="21"/>
        <v>16.03</v>
      </c>
      <c r="J87" s="1037">
        <f t="shared" si="22"/>
        <v>644.4</v>
      </c>
      <c r="K87" s="326"/>
      <c r="L87" s="1636">
        <f>TRUNC(SUM(J78:J87),2)</f>
        <v>38059.730000000003</v>
      </c>
      <c r="Q87" t="str">
        <f t="shared" si="23"/>
        <v>ok</v>
      </c>
      <c r="R87" t="str">
        <f t="shared" si="24"/>
        <v>ok</v>
      </c>
      <c r="S87" t="str">
        <f t="shared" si="25"/>
        <v>ok</v>
      </c>
      <c r="T87" t="str">
        <f t="shared" si="26"/>
        <v>ok</v>
      </c>
      <c r="U87" s="99">
        <v>13.2</v>
      </c>
      <c r="V87" s="1822">
        <v>40.200000000000003</v>
      </c>
      <c r="W87" s="1822">
        <v>16.13</v>
      </c>
      <c r="X87" s="1822">
        <v>648.41999999999996</v>
      </c>
    </row>
    <row r="88" spans="1:24" ht="13.5" customHeight="1">
      <c r="A88" s="1649" t="s">
        <v>1223</v>
      </c>
      <c r="B88" s="1629"/>
      <c r="C88" s="1630" t="s">
        <v>1224</v>
      </c>
      <c r="D88" s="1629"/>
      <c r="E88" s="1631"/>
      <c r="F88" s="1631"/>
      <c r="G88" s="1632" t="str">
        <f t="shared" si="20"/>
        <v xml:space="preserve"> </v>
      </c>
      <c r="H88" s="1628"/>
      <c r="I88" s="1628" t="str">
        <f>IF(OR(E88&lt;=0)," ",TRUNC((E88*(1+$J$11)),2))</f>
        <v xml:space="preserve"> </v>
      </c>
      <c r="J88" s="178" t="str">
        <f>IF(OR(E88&lt;=0)," ",TRUNC((I88*G88),2))</f>
        <v xml:space="preserve"> </v>
      </c>
      <c r="K88" s="516" t="s">
        <v>457</v>
      </c>
      <c r="L88" s="53"/>
      <c r="Q88" t="str">
        <f t="shared" si="23"/>
        <v>ok</v>
      </c>
      <c r="R88" t="str">
        <f t="shared" si="24"/>
        <v>ok</v>
      </c>
      <c r="S88" t="str">
        <f t="shared" si="25"/>
        <v>ok</v>
      </c>
      <c r="T88" t="str">
        <f t="shared" si="26"/>
        <v>ok</v>
      </c>
      <c r="U88" s="99"/>
      <c r="V88" s="1822" t="s">
        <v>42</v>
      </c>
      <c r="W88" s="1822" t="s">
        <v>42</v>
      </c>
      <c r="X88" s="1822" t="s">
        <v>42</v>
      </c>
    </row>
    <row r="89" spans="1:24" ht="41.25" customHeight="1">
      <c r="A89" s="1652" t="s">
        <v>1225</v>
      </c>
      <c r="B89" s="1304">
        <v>92479</v>
      </c>
      <c r="C89" s="1311" t="s">
        <v>424</v>
      </c>
      <c r="D89" s="1304" t="s">
        <v>46</v>
      </c>
      <c r="E89" s="1310">
        <v>80.47</v>
      </c>
      <c r="F89" s="1320">
        <f>VLOOKUP(B89,'CADERNO DE COMPOSIÇÃO'!$A$8:$J$15448,10,FALSE)</f>
        <v>80.14</v>
      </c>
      <c r="G89" s="1372">
        <f t="shared" si="20"/>
        <v>32.53</v>
      </c>
      <c r="H89" s="1379">
        <v>32.53</v>
      </c>
      <c r="I89" s="1374">
        <f t="shared" ref="I89:I93" si="27">TRUNC(F89*(1+$J$11),2)</f>
        <v>97.95</v>
      </c>
      <c r="J89" s="77">
        <f t="shared" ref="J89:J93" si="28">TRUNC(I89*G89,2)</f>
        <v>3186.31</v>
      </c>
      <c r="K89" s="185"/>
      <c r="L89" s="53"/>
      <c r="Q89" t="str">
        <f t="shared" si="23"/>
        <v>ok</v>
      </c>
      <c r="R89" t="str">
        <f t="shared" si="24"/>
        <v>ok</v>
      </c>
      <c r="S89" t="str">
        <f t="shared" si="25"/>
        <v>ok</v>
      </c>
      <c r="T89" t="str">
        <f t="shared" si="26"/>
        <v>ok</v>
      </c>
      <c r="U89" s="99">
        <v>80.47</v>
      </c>
      <c r="V89" s="1822">
        <v>32.53</v>
      </c>
      <c r="W89" s="1822">
        <v>98.35</v>
      </c>
      <c r="X89" s="1822">
        <v>3199.32</v>
      </c>
    </row>
    <row r="90" spans="1:24" ht="34.5" customHeight="1">
      <c r="A90" s="1652" t="s">
        <v>1226</v>
      </c>
      <c r="B90" s="1304">
        <v>94965</v>
      </c>
      <c r="C90" s="1496" t="s">
        <v>420</v>
      </c>
      <c r="D90" s="1316" t="s">
        <v>47</v>
      </c>
      <c r="E90" s="1310">
        <v>568</v>
      </c>
      <c r="F90" s="1320">
        <f>VLOOKUP(B90,'CADERNO DE COMPOSIÇÃO'!$A$8:$J$15448,10,FALSE)</f>
        <v>563.54999999999995</v>
      </c>
      <c r="G90" s="1079">
        <f t="shared" si="20"/>
        <v>1.88</v>
      </c>
      <c r="H90" s="1379">
        <v>1.88</v>
      </c>
      <c r="I90" s="1034">
        <f t="shared" si="27"/>
        <v>688.82</v>
      </c>
      <c r="J90" s="1037">
        <f t="shared" si="28"/>
        <v>1294.98</v>
      </c>
      <c r="K90" s="185"/>
      <c r="L90" s="53"/>
      <c r="Q90" t="str">
        <f t="shared" si="23"/>
        <v>ok</v>
      </c>
      <c r="R90" t="str">
        <f t="shared" si="24"/>
        <v>ok</v>
      </c>
      <c r="S90" t="str">
        <f t="shared" si="25"/>
        <v>ok</v>
      </c>
      <c r="T90" t="str">
        <f t="shared" si="26"/>
        <v>ok</v>
      </c>
      <c r="U90" s="99">
        <v>568</v>
      </c>
      <c r="V90" s="1822">
        <v>1.88</v>
      </c>
      <c r="W90" s="1822">
        <v>694.26</v>
      </c>
      <c r="X90" s="1822">
        <v>1305.2</v>
      </c>
    </row>
    <row r="91" spans="1:24" ht="33.75" customHeight="1">
      <c r="A91" s="1652" t="s">
        <v>1228</v>
      </c>
      <c r="B91" s="1304">
        <v>103673</v>
      </c>
      <c r="C91" s="1311" t="s">
        <v>2384</v>
      </c>
      <c r="D91" s="1316" t="s">
        <v>47</v>
      </c>
      <c r="E91" s="1314">
        <v>37.31</v>
      </c>
      <c r="F91" s="1320">
        <f>VLOOKUP(B91,'CADERNO DE COMPOSIÇÃO'!$A$8:$J$15448,10,FALSE)</f>
        <v>37.31</v>
      </c>
      <c r="G91" s="1079">
        <f t="shared" si="20"/>
        <v>1.88</v>
      </c>
      <c r="H91" s="1379">
        <v>1.88</v>
      </c>
      <c r="I91" s="1034">
        <f t="shared" si="27"/>
        <v>45.6</v>
      </c>
      <c r="J91" s="1037">
        <f t="shared" si="28"/>
        <v>85.72</v>
      </c>
      <c r="K91" s="185"/>
      <c r="L91" s="53"/>
      <c r="Q91" t="str">
        <f t="shared" si="23"/>
        <v>ok</v>
      </c>
      <c r="R91" t="str">
        <f t="shared" si="24"/>
        <v>ok</v>
      </c>
      <c r="S91" t="str">
        <f t="shared" si="25"/>
        <v>ok</v>
      </c>
      <c r="T91" t="str">
        <f t="shared" si="26"/>
        <v>ok</v>
      </c>
      <c r="U91" s="99">
        <v>37.31</v>
      </c>
      <c r="V91" s="1822">
        <v>1.88</v>
      </c>
      <c r="W91" s="1822">
        <v>45.6</v>
      </c>
      <c r="X91" s="1822">
        <v>85.72</v>
      </c>
    </row>
    <row r="92" spans="1:24" ht="50.25" customHeight="1">
      <c r="A92" s="1652" t="s">
        <v>1229</v>
      </c>
      <c r="B92" s="1304">
        <v>92759</v>
      </c>
      <c r="C92" s="1311" t="s">
        <v>2218</v>
      </c>
      <c r="D92" s="1304" t="s">
        <v>100</v>
      </c>
      <c r="E92" s="1314">
        <v>16.190000000000001</v>
      </c>
      <c r="F92" s="1320">
        <f>VLOOKUP(B92,'CADERNO DE COMPOSIÇÃO'!$A$8:$J$15448,10,FALSE)</f>
        <v>16.09</v>
      </c>
      <c r="G92" s="1079">
        <f t="shared" si="20"/>
        <v>34.1</v>
      </c>
      <c r="H92" s="1379">
        <v>34.1</v>
      </c>
      <c r="I92" s="1034">
        <f t="shared" si="27"/>
        <v>19.66</v>
      </c>
      <c r="J92" s="1037">
        <f t="shared" si="28"/>
        <v>670.4</v>
      </c>
      <c r="K92" s="185"/>
      <c r="L92" s="53"/>
      <c r="Q92" t="str">
        <f t="shared" si="23"/>
        <v>ok</v>
      </c>
      <c r="R92" t="str">
        <f t="shared" si="24"/>
        <v>ok</v>
      </c>
      <c r="S92" t="str">
        <f t="shared" si="25"/>
        <v>ok</v>
      </c>
      <c r="T92" t="str">
        <f t="shared" si="26"/>
        <v>ok</v>
      </c>
      <c r="U92" s="99">
        <v>16.190000000000001</v>
      </c>
      <c r="V92" s="1822">
        <v>34.1</v>
      </c>
      <c r="W92" s="1822">
        <v>19.78</v>
      </c>
      <c r="X92" s="1822">
        <v>674.49</v>
      </c>
    </row>
    <row r="93" spans="1:24" ht="41.25" customHeight="1">
      <c r="A93" s="1652" t="s">
        <v>1227</v>
      </c>
      <c r="B93" s="1304">
        <v>92761</v>
      </c>
      <c r="C93" s="1311" t="s">
        <v>2389</v>
      </c>
      <c r="D93" s="1304" t="s">
        <v>100</v>
      </c>
      <c r="E93" s="1314">
        <v>15.3</v>
      </c>
      <c r="F93" s="1320">
        <f>VLOOKUP(B93,'CADERNO DE COMPOSIÇÃO'!$A$8:$J$15448,10,FALSE)</f>
        <v>15.21</v>
      </c>
      <c r="G93" s="1079">
        <f t="shared" si="20"/>
        <v>73.7</v>
      </c>
      <c r="H93" s="1379">
        <v>73.7</v>
      </c>
      <c r="I93" s="1034">
        <f t="shared" si="27"/>
        <v>18.59</v>
      </c>
      <c r="J93" s="1037">
        <f t="shared" si="28"/>
        <v>1370.08</v>
      </c>
      <c r="K93" s="185"/>
      <c r="L93" s="122">
        <f>TRUNC(SUM(J89:J93),2)</f>
        <v>6607.49</v>
      </c>
      <c r="Q93" t="str">
        <f t="shared" si="23"/>
        <v>ok</v>
      </c>
      <c r="R93" t="str">
        <f t="shared" si="24"/>
        <v>ok</v>
      </c>
      <c r="S93" t="str">
        <f t="shared" si="25"/>
        <v>ok</v>
      </c>
      <c r="T93" t="str">
        <f t="shared" si="26"/>
        <v>ok</v>
      </c>
      <c r="U93" s="99">
        <v>15.3</v>
      </c>
      <c r="V93" s="1822">
        <v>73.7</v>
      </c>
      <c r="W93" s="1822">
        <v>18.7</v>
      </c>
      <c r="X93" s="1822">
        <v>1378.19</v>
      </c>
    </row>
    <row r="94" spans="1:24" ht="18.75" customHeight="1" thickBot="1">
      <c r="A94" s="439"/>
      <c r="B94" s="1323"/>
      <c r="C94" s="1324"/>
      <c r="D94" s="1325"/>
      <c r="E94" s="1317"/>
      <c r="F94" s="1320"/>
      <c r="G94" s="1653"/>
      <c r="H94" s="1654"/>
      <c r="I94" s="1436" t="s">
        <v>15</v>
      </c>
      <c r="J94" s="79">
        <f>TRUNC(SUM(J42:J93),2)</f>
        <v>251904.65</v>
      </c>
      <c r="K94" s="185"/>
      <c r="L94" s="122">
        <f>L48+L53+L62+L68+L76+L87+L93</f>
        <v>251904.65</v>
      </c>
      <c r="Q94" t="str">
        <f t="shared" si="23"/>
        <v>ok</v>
      </c>
      <c r="R94" t="str">
        <f t="shared" si="24"/>
        <v>ok</v>
      </c>
      <c r="S94" t="str">
        <f t="shared" si="25"/>
        <v>ok</v>
      </c>
      <c r="T94" t="str">
        <f t="shared" si="26"/>
        <v>ok</v>
      </c>
      <c r="U94" s="99"/>
      <c r="W94" s="1825" t="s">
        <v>15</v>
      </c>
      <c r="X94" s="1822">
        <v>254537.54</v>
      </c>
    </row>
    <row r="95" spans="1:24" ht="14.25" customHeight="1">
      <c r="A95" s="356">
        <v>5</v>
      </c>
      <c r="B95" s="357"/>
      <c r="C95" s="358" t="s">
        <v>1230</v>
      </c>
      <c r="D95" s="359"/>
      <c r="E95" s="1077"/>
      <c r="F95" s="1077"/>
      <c r="G95" s="646"/>
      <c r="H95" s="647"/>
      <c r="I95" s="647"/>
      <c r="J95" s="362"/>
      <c r="K95" s="273" t="s">
        <v>1362</v>
      </c>
      <c r="L95" s="53"/>
      <c r="Q95" t="str">
        <f t="shared" si="23"/>
        <v>ok</v>
      </c>
      <c r="R95" t="str">
        <f t="shared" si="24"/>
        <v>ok</v>
      </c>
      <c r="S95" t="str">
        <f t="shared" si="25"/>
        <v>ok</v>
      </c>
      <c r="T95" t="str">
        <f t="shared" si="26"/>
        <v>ok</v>
      </c>
      <c r="U95" s="99"/>
      <c r="W95" s="1822"/>
      <c r="X95" s="1822"/>
    </row>
    <row r="96" spans="1:24" ht="48" customHeight="1">
      <c r="A96" s="1651" t="s">
        <v>23</v>
      </c>
      <c r="B96" s="1304">
        <v>103332</v>
      </c>
      <c r="C96" s="1311" t="s">
        <v>2391</v>
      </c>
      <c r="D96" s="1304" t="s">
        <v>46</v>
      </c>
      <c r="E96" s="1314">
        <v>120.92</v>
      </c>
      <c r="F96" s="1320">
        <f>VLOOKUP(B96,'CADERNO DE COMPOSIÇÃO'!$A$8:$J$15448,10,FALSE)</f>
        <v>120.49000000000001</v>
      </c>
      <c r="G96" s="1372">
        <f t="shared" ref="G96:G103" si="29">IF(OR(E96&lt;=0)," ",TRUNC(H96,2))</f>
        <v>555.49</v>
      </c>
      <c r="H96" s="1381">
        <v>555.49</v>
      </c>
      <c r="I96" s="1374">
        <f t="shared" ref="I96:I103" si="30">TRUNC(F96*(1+$J$11),2)</f>
        <v>147.27000000000001</v>
      </c>
      <c r="J96" s="77">
        <f t="shared" ref="J96:J103" si="31">TRUNC(I96*G96,2)</f>
        <v>81807.009999999995</v>
      </c>
      <c r="K96" s="1326" t="s">
        <v>2390</v>
      </c>
      <c r="L96" s="53"/>
      <c r="Q96" t="str">
        <f t="shared" si="23"/>
        <v>ok</v>
      </c>
      <c r="R96" t="str">
        <f t="shared" si="24"/>
        <v>ok</v>
      </c>
      <c r="S96" t="str">
        <f t="shared" si="25"/>
        <v>ok</v>
      </c>
      <c r="T96" t="str">
        <f t="shared" si="26"/>
        <v>ok</v>
      </c>
      <c r="U96" s="99">
        <v>120.92</v>
      </c>
      <c r="V96" s="1822">
        <v>555.49</v>
      </c>
      <c r="W96" s="1822">
        <v>147.80000000000001</v>
      </c>
      <c r="X96" s="1822">
        <v>82101.42</v>
      </c>
    </row>
    <row r="97" spans="1:24" ht="49.5" customHeight="1">
      <c r="A97" s="1092" t="s">
        <v>1235</v>
      </c>
      <c r="B97" s="1304">
        <v>101161</v>
      </c>
      <c r="C97" s="1311" t="s">
        <v>1480</v>
      </c>
      <c r="D97" s="1304" t="s">
        <v>46</v>
      </c>
      <c r="E97" s="1314">
        <v>217.46</v>
      </c>
      <c r="F97" s="1320">
        <f>VLOOKUP(B97,'CADERNO DE COMPOSIÇÃO'!$A$8:$J$15448,10,FALSE)</f>
        <v>216.68</v>
      </c>
      <c r="G97" s="1372">
        <f t="shared" si="29"/>
        <v>10.53</v>
      </c>
      <c r="H97" s="1381">
        <v>10.53</v>
      </c>
      <c r="I97" s="1374">
        <f t="shared" si="30"/>
        <v>264.83999999999997</v>
      </c>
      <c r="J97" s="77">
        <f t="shared" si="31"/>
        <v>2788.76</v>
      </c>
      <c r="K97" s="185"/>
      <c r="L97" s="53"/>
      <c r="Q97" t="str">
        <f t="shared" si="23"/>
        <v>ok</v>
      </c>
      <c r="R97" t="str">
        <f t="shared" si="24"/>
        <v>ok</v>
      </c>
      <c r="S97" t="str">
        <f t="shared" si="25"/>
        <v>ok</v>
      </c>
      <c r="T97" t="str">
        <f t="shared" si="26"/>
        <v>ok</v>
      </c>
      <c r="U97" s="99">
        <v>217.46</v>
      </c>
      <c r="V97" s="1822">
        <v>10.53</v>
      </c>
      <c r="W97" s="1822">
        <v>265.8</v>
      </c>
      <c r="X97" s="1822">
        <v>2798.87</v>
      </c>
    </row>
    <row r="98" spans="1:24" ht="35.25" customHeight="1">
      <c r="A98" s="1651" t="s">
        <v>1347</v>
      </c>
      <c r="B98" s="1304">
        <v>93192</v>
      </c>
      <c r="C98" s="1311" t="s">
        <v>416</v>
      </c>
      <c r="D98" s="1304" t="s">
        <v>54</v>
      </c>
      <c r="E98" s="1314">
        <v>58.62</v>
      </c>
      <c r="F98" s="1320">
        <f>VLOOKUP(B98,'CADERNO DE COMPOSIÇÃO'!$A$8:$J$15448,10,FALSE)</f>
        <v>58.350000000000009</v>
      </c>
      <c r="G98" s="1372">
        <f t="shared" si="29"/>
        <v>30</v>
      </c>
      <c r="H98" s="1381">
        <v>30</v>
      </c>
      <c r="I98" s="1374">
        <f t="shared" si="30"/>
        <v>71.319999999999993</v>
      </c>
      <c r="J98" s="77">
        <f t="shared" si="31"/>
        <v>2139.6</v>
      </c>
      <c r="K98" s="185"/>
      <c r="L98" s="462" t="s">
        <v>1468</v>
      </c>
      <c r="Q98" t="str">
        <f t="shared" si="23"/>
        <v>ok</v>
      </c>
      <c r="R98" t="str">
        <f t="shared" si="24"/>
        <v>ok</v>
      </c>
      <c r="S98" t="str">
        <f t="shared" si="25"/>
        <v>ok</v>
      </c>
      <c r="T98" t="str">
        <f t="shared" si="26"/>
        <v>ok</v>
      </c>
      <c r="U98" s="99">
        <v>58.62</v>
      </c>
      <c r="V98" s="1822">
        <v>30</v>
      </c>
      <c r="W98" s="1822">
        <v>71.650000000000006</v>
      </c>
      <c r="X98" s="1822">
        <v>2149.5</v>
      </c>
    </row>
    <row r="99" spans="1:24" ht="33" customHeight="1">
      <c r="A99" s="1651" t="s">
        <v>1348</v>
      </c>
      <c r="B99" s="1304">
        <v>93193</v>
      </c>
      <c r="C99" s="1311" t="s">
        <v>417</v>
      </c>
      <c r="D99" s="1304" t="s">
        <v>54</v>
      </c>
      <c r="E99" s="1314">
        <v>54.34</v>
      </c>
      <c r="F99" s="1320">
        <f>VLOOKUP(B99,'CADERNO DE COMPOSIÇÃO'!$A$8:$J$15448,10,FALSE)</f>
        <v>54.08</v>
      </c>
      <c r="G99" s="1372">
        <f t="shared" si="29"/>
        <v>3.36</v>
      </c>
      <c r="H99" s="1381">
        <v>3.36</v>
      </c>
      <c r="I99" s="1374">
        <f t="shared" si="30"/>
        <v>66.099999999999994</v>
      </c>
      <c r="J99" s="77">
        <f t="shared" si="31"/>
        <v>222.09</v>
      </c>
      <c r="K99" s="185"/>
      <c r="L99" s="463"/>
      <c r="Q99" t="str">
        <f t="shared" si="23"/>
        <v>ok</v>
      </c>
      <c r="R99" t="str">
        <f t="shared" si="24"/>
        <v>ok</v>
      </c>
      <c r="S99" t="str">
        <f t="shared" si="25"/>
        <v>ok</v>
      </c>
      <c r="T99" t="str">
        <f t="shared" si="26"/>
        <v>ok</v>
      </c>
      <c r="U99" s="99">
        <v>54.34</v>
      </c>
      <c r="V99" s="1822">
        <v>3.36</v>
      </c>
      <c r="W99" s="1822">
        <v>66.41</v>
      </c>
      <c r="X99" s="1822">
        <v>223.13</v>
      </c>
    </row>
    <row r="100" spans="1:24" ht="31.5" customHeight="1">
      <c r="A100" s="1092" t="s">
        <v>1349</v>
      </c>
      <c r="B100" s="1304">
        <v>93190</v>
      </c>
      <c r="C100" s="1311" t="s">
        <v>415</v>
      </c>
      <c r="D100" s="1304" t="s">
        <v>54</v>
      </c>
      <c r="E100" s="1314">
        <v>50.7</v>
      </c>
      <c r="F100" s="1320">
        <f>VLOOKUP(B100,'CADERNO DE COMPOSIÇÃO'!$A$8:$J$15448,10,FALSE)</f>
        <v>50.469999999999992</v>
      </c>
      <c r="G100" s="1372">
        <f t="shared" si="29"/>
        <v>34.299999999999997</v>
      </c>
      <c r="H100" s="1381">
        <v>34.299999999999997</v>
      </c>
      <c r="I100" s="1374">
        <f t="shared" si="30"/>
        <v>61.68</v>
      </c>
      <c r="J100" s="77">
        <f t="shared" si="31"/>
        <v>2115.62</v>
      </c>
      <c r="K100" s="464"/>
      <c r="L100" s="390" t="s">
        <v>1469</v>
      </c>
      <c r="Q100" t="str">
        <f t="shared" si="23"/>
        <v>ok</v>
      </c>
      <c r="R100" t="str">
        <f t="shared" si="24"/>
        <v>ok</v>
      </c>
      <c r="S100" t="str">
        <f t="shared" si="25"/>
        <v>ok</v>
      </c>
      <c r="T100" t="str">
        <f t="shared" si="26"/>
        <v>ok</v>
      </c>
      <c r="U100" s="99">
        <v>50.7</v>
      </c>
      <c r="V100" s="1822">
        <v>34.299999999999997</v>
      </c>
      <c r="W100" s="1822">
        <v>61.97</v>
      </c>
      <c r="X100" s="1822">
        <v>2125.5700000000002</v>
      </c>
    </row>
    <row r="101" spans="1:24" ht="32.25" customHeight="1">
      <c r="A101" s="1092" t="s">
        <v>1350</v>
      </c>
      <c r="B101" s="1304">
        <v>93187</v>
      </c>
      <c r="C101" s="1311" t="s">
        <v>2392</v>
      </c>
      <c r="D101" s="1304" t="s">
        <v>54</v>
      </c>
      <c r="E101" s="1314">
        <v>105.6</v>
      </c>
      <c r="F101" s="1320">
        <f>VLOOKUP(B101,'CADERNO DE COMPOSIÇÃO'!$A$8:$J$15448,10,FALSE)</f>
        <v>105.07</v>
      </c>
      <c r="G101" s="1372">
        <f t="shared" si="29"/>
        <v>23</v>
      </c>
      <c r="H101" s="1381">
        <v>23</v>
      </c>
      <c r="I101" s="1374">
        <f t="shared" si="30"/>
        <v>128.41999999999999</v>
      </c>
      <c r="J101" s="77">
        <f t="shared" si="31"/>
        <v>2953.66</v>
      </c>
      <c r="K101" s="202"/>
      <c r="L101" s="53"/>
      <c r="Q101" t="str">
        <f t="shared" si="23"/>
        <v>ok</v>
      </c>
      <c r="R101" t="str">
        <f t="shared" si="24"/>
        <v>ok</v>
      </c>
      <c r="S101" t="str">
        <f t="shared" si="25"/>
        <v>ok</v>
      </c>
      <c r="T101" t="str">
        <f t="shared" si="26"/>
        <v>ok</v>
      </c>
      <c r="U101" s="99">
        <v>105.6</v>
      </c>
      <c r="V101" s="1822">
        <v>23</v>
      </c>
      <c r="W101" s="1822">
        <v>129.07</v>
      </c>
      <c r="X101" s="1822">
        <v>2968.61</v>
      </c>
    </row>
    <row r="102" spans="1:24" ht="34.5" customHeight="1">
      <c r="A102" s="1092" t="s">
        <v>1351</v>
      </c>
      <c r="B102" s="1304">
        <v>93198</v>
      </c>
      <c r="C102" s="1311" t="s">
        <v>2393</v>
      </c>
      <c r="D102" s="1304" t="s">
        <v>54</v>
      </c>
      <c r="E102" s="1314">
        <v>43.44</v>
      </c>
      <c r="F102" s="1320">
        <f>VLOOKUP(B102,'CADERNO DE COMPOSIÇÃO'!$A$8:$J$15448,10,FALSE)</f>
        <v>43.24</v>
      </c>
      <c r="G102" s="1372">
        <f t="shared" si="29"/>
        <v>34.299999999999997</v>
      </c>
      <c r="H102" s="1381">
        <v>34.299999999999997</v>
      </c>
      <c r="I102" s="1374">
        <f t="shared" si="30"/>
        <v>52.85</v>
      </c>
      <c r="J102" s="77">
        <f t="shared" si="31"/>
        <v>1812.75</v>
      </c>
      <c r="K102" s="186"/>
      <c r="L102" s="390" t="s">
        <v>1469</v>
      </c>
      <c r="Q102" t="str">
        <f t="shared" si="23"/>
        <v>ok</v>
      </c>
      <c r="R102" t="str">
        <f t="shared" si="24"/>
        <v>ok</v>
      </c>
      <c r="S102" t="str">
        <f t="shared" si="25"/>
        <v>ok</v>
      </c>
      <c r="T102" t="str">
        <f t="shared" si="26"/>
        <v>ok</v>
      </c>
      <c r="U102" s="99">
        <v>43.44</v>
      </c>
      <c r="V102" s="1822">
        <v>34.299999999999997</v>
      </c>
      <c r="W102" s="1822">
        <v>53.09</v>
      </c>
      <c r="X102" s="1822">
        <v>1820.98</v>
      </c>
    </row>
    <row r="103" spans="1:24" ht="35.25" customHeight="1">
      <c r="A103" s="1651" t="s">
        <v>1352</v>
      </c>
      <c r="B103" s="1304">
        <v>93199</v>
      </c>
      <c r="C103" s="1311" t="s">
        <v>418</v>
      </c>
      <c r="D103" s="1304" t="s">
        <v>54</v>
      </c>
      <c r="E103" s="1314">
        <v>42.9</v>
      </c>
      <c r="F103" s="1320">
        <f>VLOOKUP(B103,'CADERNO DE COMPOSIÇÃO'!$A$8:$J$15448,10,FALSE)</f>
        <v>42.699999999999996</v>
      </c>
      <c r="G103" s="1372">
        <f t="shared" si="29"/>
        <v>23</v>
      </c>
      <c r="H103" s="1381">
        <v>23</v>
      </c>
      <c r="I103" s="1374">
        <f t="shared" si="30"/>
        <v>52.19</v>
      </c>
      <c r="J103" s="77">
        <f t="shared" si="31"/>
        <v>1200.3699999999999</v>
      </c>
      <c r="K103" s="186"/>
      <c r="L103" s="390"/>
      <c r="Q103" t="str">
        <f t="shared" si="23"/>
        <v>ok</v>
      </c>
      <c r="R103" t="str">
        <f t="shared" si="24"/>
        <v>ok</v>
      </c>
      <c r="S103" t="str">
        <f t="shared" si="25"/>
        <v>ok</v>
      </c>
      <c r="T103" t="str">
        <f t="shared" si="26"/>
        <v>ok</v>
      </c>
      <c r="U103" s="99">
        <v>42.9</v>
      </c>
      <c r="V103" s="1822">
        <v>23</v>
      </c>
      <c r="W103" s="1822">
        <v>52.43</v>
      </c>
      <c r="X103" s="1822">
        <v>1205.8900000000001</v>
      </c>
    </row>
    <row r="104" spans="1:24" ht="15.75" thickBot="1">
      <c r="A104" s="184"/>
      <c r="B104" s="1094"/>
      <c r="C104" s="1095"/>
      <c r="D104" s="1094"/>
      <c r="E104" s="1096"/>
      <c r="F104" s="1320"/>
      <c r="G104" s="1097"/>
      <c r="H104" s="1098"/>
      <c r="I104" s="1436" t="s">
        <v>15</v>
      </c>
      <c r="J104" s="1099">
        <f>TRUNC(SUM(J96:J103),2)</f>
        <v>95039.86</v>
      </c>
      <c r="K104" s="99"/>
      <c r="L104" s="53"/>
      <c r="Q104" t="str">
        <f t="shared" si="23"/>
        <v>ok</v>
      </c>
      <c r="R104" t="str">
        <f t="shared" si="24"/>
        <v>ok</v>
      </c>
      <c r="S104" t="str">
        <f t="shared" si="25"/>
        <v>ok</v>
      </c>
      <c r="T104" t="str">
        <f t="shared" si="26"/>
        <v>ok</v>
      </c>
      <c r="U104" s="99"/>
      <c r="W104" s="1825" t="s">
        <v>15</v>
      </c>
      <c r="X104" s="1822">
        <v>95393.97</v>
      </c>
    </row>
    <row r="105" spans="1:24">
      <c r="A105" s="356">
        <v>6</v>
      </c>
      <c r="B105" s="357"/>
      <c r="C105" s="358" t="s">
        <v>205</v>
      </c>
      <c r="D105" s="359"/>
      <c r="E105" s="1077"/>
      <c r="F105" s="1077"/>
      <c r="G105" s="646"/>
      <c r="H105" s="647"/>
      <c r="I105" s="647"/>
      <c r="J105" s="362"/>
      <c r="K105" s="516" t="s">
        <v>457</v>
      </c>
      <c r="L105" s="53"/>
      <c r="Q105" t="str">
        <f t="shared" si="23"/>
        <v>ok</v>
      </c>
      <c r="R105" t="str">
        <f t="shared" si="24"/>
        <v>ok</v>
      </c>
      <c r="S105" t="str">
        <f t="shared" si="25"/>
        <v>ok</v>
      </c>
      <c r="T105" t="str">
        <f t="shared" si="26"/>
        <v>ok</v>
      </c>
      <c r="U105" s="99"/>
      <c r="W105" s="1822"/>
      <c r="X105" s="1822"/>
    </row>
    <row r="106" spans="1:24" ht="31.5" customHeight="1">
      <c r="A106" s="1651" t="s">
        <v>67</v>
      </c>
      <c r="B106" s="1304" t="s">
        <v>2185</v>
      </c>
      <c r="C106" s="1591" t="s">
        <v>1471</v>
      </c>
      <c r="D106" s="1304" t="s">
        <v>46</v>
      </c>
      <c r="E106" s="1314">
        <f>K106</f>
        <v>14.58</v>
      </c>
      <c r="F106" s="1320">
        <f>VLOOKUP(B106,'CADERNO DE COMPOSIÇÃO'!$A$8:$J$15448,10,FALSE)</f>
        <v>14.58</v>
      </c>
      <c r="G106" s="1372">
        <f t="shared" ref="G106:G112" si="32">IF(OR(E106&lt;=0)," ",TRUNC(H106,2))</f>
        <v>246.05</v>
      </c>
      <c r="H106" s="1381">
        <v>246.05</v>
      </c>
      <c r="I106" s="1374">
        <f t="shared" ref="I106:I112" si="33">TRUNC(F106*(1+$J$11),2)</f>
        <v>17.82</v>
      </c>
      <c r="J106" s="77">
        <f t="shared" ref="J106:J112" si="34">TRUNC(I106*G106,2)</f>
        <v>4384.6099999999997</v>
      </c>
      <c r="K106" s="509">
        <f>'COMP CIVIL'!F228</f>
        <v>14.58</v>
      </c>
      <c r="L106" s="53"/>
      <c r="Q106" t="str">
        <f t="shared" si="23"/>
        <v>ok</v>
      </c>
      <c r="R106" t="str">
        <f t="shared" si="24"/>
        <v>ok</v>
      </c>
      <c r="S106" t="str">
        <f t="shared" si="25"/>
        <v>ok</v>
      </c>
      <c r="T106" t="str">
        <f t="shared" si="26"/>
        <v>ok</v>
      </c>
      <c r="U106" s="99">
        <v>14.58</v>
      </c>
      <c r="V106" s="1822">
        <v>246.05</v>
      </c>
      <c r="W106" s="1822">
        <v>17.82</v>
      </c>
      <c r="X106" s="1822">
        <v>4384.6099999999997</v>
      </c>
    </row>
    <row r="107" spans="1:24" ht="28.5">
      <c r="A107" s="1651" t="s">
        <v>1231</v>
      </c>
      <c r="B107" s="1304">
        <v>95241</v>
      </c>
      <c r="C107" s="1311" t="s">
        <v>579</v>
      </c>
      <c r="D107" s="1304" t="s">
        <v>46</v>
      </c>
      <c r="E107" s="1314">
        <v>32.82</v>
      </c>
      <c r="F107" s="1320">
        <f>VLOOKUP(B107,'CADERNO DE COMPOSIÇÃO'!$A$8:$J$15448,10,FALSE)</f>
        <v>32.69</v>
      </c>
      <c r="G107" s="1372">
        <f t="shared" si="32"/>
        <v>246.05</v>
      </c>
      <c r="H107" s="1381">
        <v>246.05</v>
      </c>
      <c r="I107" s="1374">
        <f t="shared" si="33"/>
        <v>39.950000000000003</v>
      </c>
      <c r="J107" s="77">
        <f t="shared" si="34"/>
        <v>9829.69</v>
      </c>
      <c r="K107" s="99"/>
      <c r="L107" s="53"/>
      <c r="Q107" t="str">
        <f t="shared" si="23"/>
        <v>ok</v>
      </c>
      <c r="R107" t="str">
        <f t="shared" si="24"/>
        <v>ok</v>
      </c>
      <c r="S107" t="str">
        <f t="shared" si="25"/>
        <v>ok</v>
      </c>
      <c r="T107" t="str">
        <f t="shared" si="26"/>
        <v>ok</v>
      </c>
      <c r="U107" s="99">
        <v>32.82</v>
      </c>
      <c r="V107" s="1822">
        <v>246.05</v>
      </c>
      <c r="W107" s="1822">
        <v>40.11</v>
      </c>
      <c r="X107" s="1822">
        <v>9869.06</v>
      </c>
    </row>
    <row r="108" spans="1:24" ht="74.25" customHeight="1">
      <c r="A108" s="1651" t="s">
        <v>1353</v>
      </c>
      <c r="B108" s="1304">
        <v>94438</v>
      </c>
      <c r="C108" s="1496" t="s">
        <v>1470</v>
      </c>
      <c r="D108" s="1304" t="s">
        <v>46</v>
      </c>
      <c r="E108" s="1314">
        <v>46.63</v>
      </c>
      <c r="F108" s="1320">
        <f>VLOOKUP(B108,'CADERNO DE COMPOSIÇÃO'!$A$8:$J$15448,10,FALSE)</f>
        <v>46.4</v>
      </c>
      <c r="G108" s="1372">
        <f t="shared" si="32"/>
        <v>246.05</v>
      </c>
      <c r="H108" s="1381">
        <v>246.05</v>
      </c>
      <c r="I108" s="1374">
        <f t="shared" si="33"/>
        <v>56.71</v>
      </c>
      <c r="J108" s="77">
        <f t="shared" si="34"/>
        <v>13953.49</v>
      </c>
      <c r="K108" s="99"/>
      <c r="L108" s="53"/>
      <c r="Q108" t="str">
        <f t="shared" si="23"/>
        <v>ok</v>
      </c>
      <c r="R108" t="str">
        <f t="shared" si="24"/>
        <v>ok</v>
      </c>
      <c r="S108" t="str">
        <f t="shared" si="25"/>
        <v>ok</v>
      </c>
      <c r="T108" t="str">
        <f t="shared" si="26"/>
        <v>ok</v>
      </c>
      <c r="U108" s="99">
        <v>46.63</v>
      </c>
      <c r="V108" s="1822">
        <v>246.05</v>
      </c>
      <c r="W108" s="1822">
        <v>56.99</v>
      </c>
      <c r="X108" s="1822">
        <v>14022.38</v>
      </c>
    </row>
    <row r="109" spans="1:24" ht="43.5" customHeight="1">
      <c r="A109" s="1651" t="s">
        <v>1354</v>
      </c>
      <c r="B109" s="1304">
        <v>87261</v>
      </c>
      <c r="C109" s="1311" t="s">
        <v>1472</v>
      </c>
      <c r="D109" s="1304" t="s">
        <v>46</v>
      </c>
      <c r="E109" s="1314">
        <v>184.04</v>
      </c>
      <c r="F109" s="1320">
        <f>VLOOKUP(B109,'CADERNO DE COMPOSIÇÃO'!$A$8:$J$15448,10,FALSE)</f>
        <v>183.22</v>
      </c>
      <c r="G109" s="1372">
        <f t="shared" si="32"/>
        <v>8.74</v>
      </c>
      <c r="H109" s="1381">
        <v>8.74</v>
      </c>
      <c r="I109" s="1374">
        <f t="shared" si="33"/>
        <v>223.94</v>
      </c>
      <c r="J109" s="77">
        <f t="shared" si="34"/>
        <v>1957.23</v>
      </c>
      <c r="K109" s="99"/>
      <c r="L109" s="53"/>
      <c r="Q109" t="str">
        <f t="shared" si="23"/>
        <v>ok</v>
      </c>
      <c r="R109" t="str">
        <f t="shared" si="24"/>
        <v>ok</v>
      </c>
      <c r="S109" t="str">
        <f t="shared" si="25"/>
        <v>ok</v>
      </c>
      <c r="T109" t="str">
        <f t="shared" si="26"/>
        <v>ok</v>
      </c>
      <c r="U109" s="99">
        <v>184.04</v>
      </c>
      <c r="V109" s="1822">
        <v>8.74</v>
      </c>
      <c r="W109" s="1822">
        <v>224.95</v>
      </c>
      <c r="X109" s="1822">
        <v>1966.06</v>
      </c>
    </row>
    <row r="110" spans="1:24" ht="45.75" customHeight="1">
      <c r="A110" s="1651" t="s">
        <v>1355</v>
      </c>
      <c r="B110" s="1304">
        <v>87262</v>
      </c>
      <c r="C110" s="1311" t="s">
        <v>1473</v>
      </c>
      <c r="D110" s="1304" t="s">
        <v>46</v>
      </c>
      <c r="E110" s="1314">
        <v>168.88</v>
      </c>
      <c r="F110" s="1320">
        <f>VLOOKUP(B110,'CADERNO DE COMPOSIÇÃO'!$A$8:$J$15448,10,FALSE)</f>
        <v>168.07999999999998</v>
      </c>
      <c r="G110" s="1372">
        <f t="shared" si="32"/>
        <v>23.06</v>
      </c>
      <c r="H110" s="1381">
        <v>23.06</v>
      </c>
      <c r="I110" s="1374">
        <f t="shared" si="33"/>
        <v>205.44</v>
      </c>
      <c r="J110" s="77">
        <f t="shared" si="34"/>
        <v>4737.4399999999996</v>
      </c>
      <c r="K110" s="99"/>
      <c r="L110" s="53"/>
      <c r="Q110" t="str">
        <f t="shared" si="23"/>
        <v>ok</v>
      </c>
      <c r="R110" t="str">
        <f t="shared" si="24"/>
        <v>ok</v>
      </c>
      <c r="S110" t="str">
        <f t="shared" si="25"/>
        <v>ok</v>
      </c>
      <c r="T110" t="str">
        <f t="shared" si="26"/>
        <v>ok</v>
      </c>
      <c r="U110" s="99">
        <v>168.88</v>
      </c>
      <c r="V110" s="1822">
        <v>23.06</v>
      </c>
      <c r="W110" s="1822">
        <v>206.42</v>
      </c>
      <c r="X110" s="1822">
        <v>4760.04</v>
      </c>
    </row>
    <row r="111" spans="1:24" ht="45.75" customHeight="1">
      <c r="A111" s="1651" t="s">
        <v>1356</v>
      </c>
      <c r="B111" s="1304">
        <v>87263</v>
      </c>
      <c r="C111" s="1311" t="s">
        <v>1474</v>
      </c>
      <c r="D111" s="1304" t="s">
        <v>46</v>
      </c>
      <c r="E111" s="1314">
        <v>160.04</v>
      </c>
      <c r="F111" s="1320">
        <f>VLOOKUP(B111,'CADERNO DE COMPOSIÇÃO'!$A$8:$J$15448,10,FALSE)</f>
        <v>159.25</v>
      </c>
      <c r="G111" s="1372">
        <f t="shared" si="32"/>
        <v>214.25</v>
      </c>
      <c r="H111" s="1381">
        <v>214.25</v>
      </c>
      <c r="I111" s="1374">
        <f t="shared" si="33"/>
        <v>194.65</v>
      </c>
      <c r="J111" s="77">
        <f t="shared" si="34"/>
        <v>41703.760000000002</v>
      </c>
      <c r="K111" s="99"/>
      <c r="L111" s="53"/>
      <c r="Q111" t="str">
        <f t="shared" si="23"/>
        <v>ok</v>
      </c>
      <c r="R111" t="str">
        <f t="shared" si="24"/>
        <v>ok</v>
      </c>
      <c r="S111" t="str">
        <f t="shared" si="25"/>
        <v>ok</v>
      </c>
      <c r="T111" t="str">
        <f t="shared" si="26"/>
        <v>ok</v>
      </c>
      <c r="U111" s="99">
        <v>160.04</v>
      </c>
      <c r="V111" s="1822">
        <v>214.25</v>
      </c>
      <c r="W111" s="1822">
        <v>195.61</v>
      </c>
      <c r="X111" s="1822">
        <v>41909.440000000002</v>
      </c>
    </row>
    <row r="112" spans="1:24" ht="31.5" customHeight="1">
      <c r="A112" s="1651" t="s">
        <v>1357</v>
      </c>
      <c r="B112" s="1304" t="s">
        <v>107</v>
      </c>
      <c r="C112" s="1311" t="s">
        <v>1476</v>
      </c>
      <c r="D112" s="1304" t="s">
        <v>54</v>
      </c>
      <c r="E112" s="1314">
        <f>K112</f>
        <v>77.900000000000006</v>
      </c>
      <c r="F112" s="1320">
        <f>VLOOKUP(B112,'CADERNO DE COMPOSIÇÃO'!$A$8:$J$15448,10,FALSE)</f>
        <v>77.510000000000005</v>
      </c>
      <c r="G112" s="1372">
        <f t="shared" si="32"/>
        <v>131.9</v>
      </c>
      <c r="H112" s="1381">
        <v>131.9</v>
      </c>
      <c r="I112" s="1374">
        <f t="shared" si="33"/>
        <v>94.74</v>
      </c>
      <c r="J112" s="77">
        <f t="shared" si="34"/>
        <v>12496.2</v>
      </c>
      <c r="K112" s="332">
        <f>'COMP CIVIL'!F241</f>
        <v>77.900000000000006</v>
      </c>
      <c r="L112" s="53"/>
      <c r="Q112" t="str">
        <f t="shared" si="23"/>
        <v>ok</v>
      </c>
      <c r="R112" t="str">
        <f t="shared" si="24"/>
        <v>ok</v>
      </c>
      <c r="S112" t="str">
        <f t="shared" si="25"/>
        <v>ok</v>
      </c>
      <c r="T112" t="str">
        <f t="shared" si="26"/>
        <v>ok</v>
      </c>
      <c r="U112" s="99">
        <v>77.900000000000006</v>
      </c>
      <c r="V112" s="1822">
        <v>131.9</v>
      </c>
      <c r="W112" s="1822">
        <v>95.21</v>
      </c>
      <c r="X112" s="1822">
        <v>12558.19</v>
      </c>
    </row>
    <row r="113" spans="1:24" ht="15.75" thickBot="1">
      <c r="A113" s="184"/>
      <c r="B113" s="1094"/>
      <c r="C113" s="1095"/>
      <c r="D113" s="1094"/>
      <c r="E113" s="1096"/>
      <c r="F113" s="1320"/>
      <c r="G113" s="1097"/>
      <c r="H113" s="1098"/>
      <c r="I113" s="1436" t="s">
        <v>15</v>
      </c>
      <c r="J113" s="1099">
        <f>TRUNC(SUM(J106:J112),2)</f>
        <v>89062.42</v>
      </c>
      <c r="K113" s="99"/>
      <c r="L113" s="53"/>
      <c r="Q113" t="str">
        <f t="shared" si="23"/>
        <v>ok</v>
      </c>
      <c r="R113" t="str">
        <f t="shared" si="24"/>
        <v>ok</v>
      </c>
      <c r="S113" t="str">
        <f t="shared" si="25"/>
        <v>ok</v>
      </c>
      <c r="T113" t="str">
        <f t="shared" si="26"/>
        <v>ok</v>
      </c>
      <c r="U113" s="99"/>
      <c r="W113" s="1825" t="s">
        <v>15</v>
      </c>
      <c r="X113" s="1822">
        <v>89469.78</v>
      </c>
    </row>
    <row r="114" spans="1:24">
      <c r="A114" s="356">
        <v>7</v>
      </c>
      <c r="B114" s="357"/>
      <c r="C114" s="358" t="s">
        <v>206</v>
      </c>
      <c r="D114" s="359"/>
      <c r="E114" s="1077"/>
      <c r="F114" s="1077"/>
      <c r="G114" s="646" t="str">
        <f t="shared" ref="G114:G124" si="35">IF(OR(E114&lt;=0)," ",TRUNC(H114,2))</f>
        <v xml:space="preserve"> </v>
      </c>
      <c r="H114" s="647"/>
      <c r="I114" s="647" t="str">
        <f>IF(OR(E114&lt;=0)," ",TRUNC((E114*(1+$J$11)),2))</f>
        <v xml:space="preserve"> </v>
      </c>
      <c r="J114" s="362" t="str">
        <f>IF(OR(E114&lt;=0)," ",TRUNC((I114*G114),2))</f>
        <v xml:space="preserve"> </v>
      </c>
      <c r="K114" s="516" t="s">
        <v>457</v>
      </c>
      <c r="L114" s="53"/>
      <c r="Q114" t="str">
        <f t="shared" si="23"/>
        <v>ok</v>
      </c>
      <c r="R114" t="str">
        <f t="shared" si="24"/>
        <v>ok</v>
      </c>
      <c r="S114" t="str">
        <f t="shared" si="25"/>
        <v>ok</v>
      </c>
      <c r="T114" t="str">
        <f t="shared" si="26"/>
        <v>ok</v>
      </c>
      <c r="U114" s="99"/>
      <c r="V114" t="s">
        <v>42</v>
      </c>
      <c r="W114" s="1822" t="s">
        <v>42</v>
      </c>
      <c r="X114" s="1822" t="s">
        <v>42</v>
      </c>
    </row>
    <row r="115" spans="1:24" ht="44.25" customHeight="1">
      <c r="A115" s="1651" t="s">
        <v>44</v>
      </c>
      <c r="B115" s="1655">
        <v>87904</v>
      </c>
      <c r="C115" s="1311" t="s">
        <v>1511</v>
      </c>
      <c r="D115" s="1304" t="s">
        <v>46</v>
      </c>
      <c r="E115" s="1314">
        <v>8.0399999999999991</v>
      </c>
      <c r="F115" s="1320">
        <f>VLOOKUP(B115,'CADERNO DE COMPOSIÇÃO'!$A$8:$J$15448,10,FALSE)</f>
        <v>8.02</v>
      </c>
      <c r="G115" s="1372">
        <f t="shared" si="35"/>
        <v>514.19000000000005</v>
      </c>
      <c r="H115" s="1381">
        <v>514.19000000000005</v>
      </c>
      <c r="I115" s="1374">
        <f t="shared" ref="I115:I124" si="36">TRUNC(F115*(1+$J$11),2)</f>
        <v>9.8000000000000007</v>
      </c>
      <c r="J115" s="77">
        <f t="shared" ref="J115:J124" si="37">TRUNC(I115*G115,2)</f>
        <v>5039.0600000000004</v>
      </c>
      <c r="K115" s="99"/>
      <c r="L115" s="390" t="s">
        <v>1512</v>
      </c>
      <c r="Q115" t="str">
        <f t="shared" si="23"/>
        <v>ok</v>
      </c>
      <c r="R115" t="str">
        <f t="shared" si="24"/>
        <v>ok</v>
      </c>
      <c r="S115" t="str">
        <f t="shared" si="25"/>
        <v>ok</v>
      </c>
      <c r="T115" t="str">
        <f t="shared" si="26"/>
        <v>ok</v>
      </c>
      <c r="U115" s="99">
        <v>8.0399999999999991</v>
      </c>
      <c r="V115" s="1822">
        <v>514.19000000000005</v>
      </c>
      <c r="W115" s="1822">
        <v>9.82</v>
      </c>
      <c r="X115" s="1822">
        <v>5049.34</v>
      </c>
    </row>
    <row r="116" spans="1:24" ht="44.25" customHeight="1">
      <c r="A116" s="1651" t="s">
        <v>72</v>
      </c>
      <c r="B116" s="1655">
        <v>87879</v>
      </c>
      <c r="C116" s="1311" t="s">
        <v>633</v>
      </c>
      <c r="D116" s="1304" t="s">
        <v>46</v>
      </c>
      <c r="E116" s="1314">
        <v>4.38</v>
      </c>
      <c r="F116" s="1320">
        <f>VLOOKUP(B116,'CADERNO DE COMPOSIÇÃO'!$A$8:$J$15448,10,FALSE)</f>
        <v>4.37</v>
      </c>
      <c r="G116" s="1372">
        <f t="shared" si="35"/>
        <v>925.09</v>
      </c>
      <c r="H116" s="1381">
        <v>925.09</v>
      </c>
      <c r="I116" s="1374">
        <f t="shared" si="36"/>
        <v>5.34</v>
      </c>
      <c r="J116" s="77">
        <f t="shared" si="37"/>
        <v>4939.9799999999996</v>
      </c>
      <c r="K116" s="327"/>
      <c r="L116" s="480" t="s">
        <v>1522</v>
      </c>
      <c r="Q116" t="str">
        <f t="shared" si="23"/>
        <v>ok</v>
      </c>
      <c r="R116" t="str">
        <f t="shared" si="24"/>
        <v>ok</v>
      </c>
      <c r="S116" t="str">
        <f t="shared" si="25"/>
        <v>ok</v>
      </c>
      <c r="T116" t="str">
        <f t="shared" si="26"/>
        <v>ok</v>
      </c>
      <c r="U116" s="99">
        <v>4.38</v>
      </c>
      <c r="V116" s="1822">
        <v>925.09</v>
      </c>
      <c r="W116" s="1822">
        <v>5.35</v>
      </c>
      <c r="X116" s="1822">
        <v>4949.2299999999996</v>
      </c>
    </row>
    <row r="117" spans="1:24" ht="54.75" customHeight="1">
      <c r="A117" s="1651" t="s">
        <v>73</v>
      </c>
      <c r="B117" s="1304">
        <v>87528</v>
      </c>
      <c r="C117" s="1311" t="s">
        <v>1514</v>
      </c>
      <c r="D117" s="1304" t="s">
        <v>46</v>
      </c>
      <c r="E117" s="1314">
        <v>44.75</v>
      </c>
      <c r="F117" s="1320">
        <f>VLOOKUP(B117,'CADERNO DE COMPOSIÇÃO'!$A$8:$J$15448,10,FALSE)</f>
        <v>44.61</v>
      </c>
      <c r="G117" s="1372">
        <f t="shared" si="35"/>
        <v>72.64</v>
      </c>
      <c r="H117" s="1381">
        <v>72.64</v>
      </c>
      <c r="I117" s="1374">
        <f t="shared" si="36"/>
        <v>54.52</v>
      </c>
      <c r="J117" s="77">
        <f t="shared" si="37"/>
        <v>3960.33</v>
      </c>
      <c r="K117" s="99"/>
      <c r="L117" s="480" t="s">
        <v>1523</v>
      </c>
      <c r="Q117" t="str">
        <f t="shared" si="23"/>
        <v>ok</v>
      </c>
      <c r="R117" t="str">
        <f t="shared" si="24"/>
        <v>ok</v>
      </c>
      <c r="S117" t="str">
        <f t="shared" si="25"/>
        <v>ok</v>
      </c>
      <c r="T117" t="str">
        <f t="shared" si="26"/>
        <v>ok</v>
      </c>
      <c r="U117" s="99">
        <v>44.75</v>
      </c>
      <c r="V117" s="1822">
        <v>72.64</v>
      </c>
      <c r="W117" s="1822">
        <v>54.69</v>
      </c>
      <c r="X117" s="1822">
        <v>3972.68</v>
      </c>
    </row>
    <row r="118" spans="1:24" ht="61.5" customHeight="1">
      <c r="A118" s="1651" t="s">
        <v>1674</v>
      </c>
      <c r="B118" s="1304">
        <v>87532</v>
      </c>
      <c r="C118" s="1328" t="s">
        <v>1503</v>
      </c>
      <c r="D118" s="1304" t="s">
        <v>46</v>
      </c>
      <c r="E118" s="1314">
        <v>40.03</v>
      </c>
      <c r="F118" s="1320">
        <f>VLOOKUP(B118,'CADERNO DE COMPOSIÇÃO'!$A$8:$J$15448,10,FALSE)</f>
        <v>39.89</v>
      </c>
      <c r="G118" s="1372">
        <f t="shared" si="35"/>
        <v>42.84</v>
      </c>
      <c r="H118" s="1381">
        <v>42.84</v>
      </c>
      <c r="I118" s="1374">
        <f t="shared" si="36"/>
        <v>48.75</v>
      </c>
      <c r="J118" s="77">
        <f t="shared" si="37"/>
        <v>2088.4499999999998</v>
      </c>
      <c r="K118" s="99"/>
      <c r="L118" s="480" t="s">
        <v>1524</v>
      </c>
      <c r="Q118" t="str">
        <f t="shared" si="23"/>
        <v>ok</v>
      </c>
      <c r="R118" t="str">
        <f t="shared" si="24"/>
        <v>ok</v>
      </c>
      <c r="S118" t="str">
        <f t="shared" si="25"/>
        <v>ok</v>
      </c>
      <c r="T118" t="str">
        <f t="shared" si="26"/>
        <v>ok</v>
      </c>
      <c r="U118" s="99">
        <v>40.03</v>
      </c>
      <c r="V118" s="1822">
        <v>42.84</v>
      </c>
      <c r="W118" s="1822">
        <v>48.92</v>
      </c>
      <c r="X118" s="1822">
        <v>2095.73</v>
      </c>
    </row>
    <row r="119" spans="1:24" ht="60.75" customHeight="1">
      <c r="A119" s="1651" t="s">
        <v>1675</v>
      </c>
      <c r="B119" s="1304">
        <v>87536</v>
      </c>
      <c r="C119" s="1311" t="s">
        <v>1504</v>
      </c>
      <c r="D119" s="1304" t="s">
        <v>46</v>
      </c>
      <c r="E119" s="1314">
        <v>36.54</v>
      </c>
      <c r="F119" s="1320">
        <f>VLOOKUP(B119,'CADERNO DE COMPOSIÇÃO'!$A$8:$J$15448,10,FALSE)</f>
        <v>36.4</v>
      </c>
      <c r="G119" s="1372">
        <f t="shared" si="35"/>
        <v>88.41</v>
      </c>
      <c r="H119" s="1381">
        <v>88.41</v>
      </c>
      <c r="I119" s="1374">
        <f t="shared" si="36"/>
        <v>44.49</v>
      </c>
      <c r="J119" s="77">
        <f t="shared" si="37"/>
        <v>3933.36</v>
      </c>
      <c r="K119" s="99"/>
      <c r="L119" s="390" t="s">
        <v>1525</v>
      </c>
      <c r="Q119" t="str">
        <f t="shared" si="23"/>
        <v>ok</v>
      </c>
      <c r="R119" t="str">
        <f t="shared" si="24"/>
        <v>ok</v>
      </c>
      <c r="S119" t="str">
        <f t="shared" si="25"/>
        <v>ok</v>
      </c>
      <c r="T119" t="str">
        <f t="shared" si="26"/>
        <v>ok</v>
      </c>
      <c r="U119" s="99">
        <v>36.54</v>
      </c>
      <c r="V119" s="1822">
        <v>88.41</v>
      </c>
      <c r="W119" s="1822">
        <v>44.66</v>
      </c>
      <c r="X119" s="1822">
        <v>3948.39</v>
      </c>
    </row>
    <row r="120" spans="1:24" ht="29.25" customHeight="1">
      <c r="A120" s="1651" t="s">
        <v>116</v>
      </c>
      <c r="B120" s="1304" t="s">
        <v>1505</v>
      </c>
      <c r="C120" s="1638" t="s">
        <v>1528</v>
      </c>
      <c r="D120" s="1304" t="s">
        <v>46</v>
      </c>
      <c r="E120" s="1314">
        <f>K120</f>
        <v>190.35</v>
      </c>
      <c r="F120" s="1320">
        <f>VLOOKUP(B120,'CADERNO DE COMPOSIÇÃO'!$A$8:$J$15448,10,FALSE)</f>
        <v>189.46</v>
      </c>
      <c r="G120" s="1372">
        <f t="shared" si="35"/>
        <v>108.24</v>
      </c>
      <c r="H120" s="1381">
        <v>108.24</v>
      </c>
      <c r="I120" s="1374">
        <f t="shared" si="36"/>
        <v>231.57</v>
      </c>
      <c r="J120" s="77">
        <f t="shared" si="37"/>
        <v>25065.13</v>
      </c>
      <c r="K120" s="332">
        <f>'COMP CIVIL'!F341</f>
        <v>190.35</v>
      </c>
      <c r="L120" s="312" t="s">
        <v>1449</v>
      </c>
      <c r="Q120" t="str">
        <f t="shared" si="23"/>
        <v>ok</v>
      </c>
      <c r="R120" t="str">
        <f t="shared" si="24"/>
        <v>ok</v>
      </c>
      <c r="S120" t="str">
        <f t="shared" si="25"/>
        <v>ok</v>
      </c>
      <c r="T120" t="str">
        <f t="shared" si="26"/>
        <v>ok</v>
      </c>
      <c r="U120" s="99">
        <v>190.35</v>
      </c>
      <c r="V120" s="1822">
        <v>108.24</v>
      </c>
      <c r="W120" s="1822">
        <v>232.66</v>
      </c>
      <c r="X120" s="1822">
        <v>25183.11</v>
      </c>
    </row>
    <row r="121" spans="1:24" ht="65.25" customHeight="1">
      <c r="A121" s="1123" t="s">
        <v>1676</v>
      </c>
      <c r="B121" s="1588">
        <v>89173</v>
      </c>
      <c r="C121" s="1637" t="s">
        <v>118</v>
      </c>
      <c r="D121" s="1588" t="s">
        <v>46</v>
      </c>
      <c r="E121" s="1074">
        <v>36.79</v>
      </c>
      <c r="F121" s="1320">
        <f>VLOOKUP(B121,'CADERNO DE COMPOSIÇÃO'!$A$8:$J$15448,10,FALSE)</f>
        <v>36.599999999999994</v>
      </c>
      <c r="G121" s="1369">
        <f t="shared" si="35"/>
        <v>446.89</v>
      </c>
      <c r="H121" s="512">
        <v>446.89</v>
      </c>
      <c r="I121" s="1370">
        <f t="shared" si="36"/>
        <v>44.73</v>
      </c>
      <c r="J121" s="1371">
        <f t="shared" si="37"/>
        <v>19989.38</v>
      </c>
      <c r="K121" s="328"/>
      <c r="L121" s="479" t="s">
        <v>1521</v>
      </c>
      <c r="Q121" t="str">
        <f t="shared" si="23"/>
        <v>ok</v>
      </c>
      <c r="R121" t="str">
        <f t="shared" si="24"/>
        <v>ok</v>
      </c>
      <c r="S121" t="str">
        <f t="shared" si="25"/>
        <v>ok</v>
      </c>
      <c r="T121" t="str">
        <f t="shared" si="26"/>
        <v>ok</v>
      </c>
      <c r="U121" s="99">
        <v>36.79</v>
      </c>
      <c r="V121" s="1822">
        <v>446.89</v>
      </c>
      <c r="W121" s="1822">
        <v>44.96</v>
      </c>
      <c r="X121" s="1822">
        <v>20092.169999999998</v>
      </c>
    </row>
    <row r="122" spans="1:24" ht="47.25" customHeight="1">
      <c r="A122" s="1651" t="s">
        <v>1677</v>
      </c>
      <c r="B122" s="1304">
        <v>90406</v>
      </c>
      <c r="C122" s="1311" t="s">
        <v>450</v>
      </c>
      <c r="D122" s="1304"/>
      <c r="E122" s="1314">
        <v>46.77</v>
      </c>
      <c r="F122" s="1320">
        <f>VLOOKUP(B122,'CADERNO DE COMPOSIÇÃO'!$A$8:$J$15448,10,FALSE)</f>
        <v>46.660000000000004</v>
      </c>
      <c r="G122" s="1372">
        <f t="shared" si="35"/>
        <v>477.72</v>
      </c>
      <c r="H122" s="1381">
        <v>477.72</v>
      </c>
      <c r="I122" s="1374">
        <f t="shared" si="36"/>
        <v>57.03</v>
      </c>
      <c r="J122" s="77">
        <f t="shared" si="37"/>
        <v>27244.37</v>
      </c>
      <c r="K122" s="99"/>
      <c r="L122" s="478" t="s">
        <v>1520</v>
      </c>
      <c r="Q122" t="str">
        <f t="shared" si="23"/>
        <v>ok</v>
      </c>
      <c r="R122" t="str">
        <f t="shared" si="24"/>
        <v>ok</v>
      </c>
      <c r="S122" t="str">
        <f t="shared" si="25"/>
        <v>ok</v>
      </c>
      <c r="T122" t="str">
        <f t="shared" si="26"/>
        <v>ok</v>
      </c>
      <c r="U122" s="99">
        <v>46.77</v>
      </c>
      <c r="V122" s="1822">
        <v>477.72</v>
      </c>
      <c r="W122" s="1822">
        <v>57.16</v>
      </c>
      <c r="X122" s="1822">
        <v>27306.47</v>
      </c>
    </row>
    <row r="123" spans="1:24" ht="42.75" customHeight="1">
      <c r="A123" s="1651" t="s">
        <v>1678</v>
      </c>
      <c r="B123" s="1304" t="s">
        <v>1491</v>
      </c>
      <c r="C123" s="1311" t="s">
        <v>1506</v>
      </c>
      <c r="D123" s="1380" t="s">
        <v>46</v>
      </c>
      <c r="E123" s="1314">
        <f>K123</f>
        <v>76.69</v>
      </c>
      <c r="F123" s="1320">
        <f>VLOOKUP(B123,'CADERNO DE COMPOSIÇÃO'!$A$8:$J$15448,10,FALSE)</f>
        <v>76.41</v>
      </c>
      <c r="G123" s="1372">
        <f t="shared" si="35"/>
        <v>30.66</v>
      </c>
      <c r="H123" s="1381">
        <v>30.66</v>
      </c>
      <c r="I123" s="1374">
        <f t="shared" si="36"/>
        <v>93.39</v>
      </c>
      <c r="J123" s="77">
        <f t="shared" si="37"/>
        <v>2863.33</v>
      </c>
      <c r="K123" s="332">
        <f>'COMP CIVIL'!F315</f>
        <v>76.69</v>
      </c>
      <c r="L123" s="476" t="s">
        <v>1513</v>
      </c>
      <c r="Q123" t="str">
        <f t="shared" si="23"/>
        <v>ok</v>
      </c>
      <c r="R123" t="str">
        <f t="shared" si="24"/>
        <v>ok</v>
      </c>
      <c r="S123" t="str">
        <f t="shared" si="25"/>
        <v>ok</v>
      </c>
      <c r="T123" t="str">
        <f t="shared" si="26"/>
        <v>ok</v>
      </c>
      <c r="U123" s="99">
        <v>76.69</v>
      </c>
      <c r="V123" s="1822">
        <v>30.66</v>
      </c>
      <c r="W123" s="1822">
        <v>93.73</v>
      </c>
      <c r="X123" s="1822">
        <v>2873.76</v>
      </c>
    </row>
    <row r="124" spans="1:24" ht="42.75" customHeight="1">
      <c r="A124" s="1651" t="s">
        <v>1679</v>
      </c>
      <c r="B124" s="1304" t="s">
        <v>1494</v>
      </c>
      <c r="C124" s="1311" t="s">
        <v>1510</v>
      </c>
      <c r="D124" s="1380" t="s">
        <v>46</v>
      </c>
      <c r="E124" s="1314">
        <f>K124</f>
        <v>80.16</v>
      </c>
      <c r="F124" s="1320">
        <f>VLOOKUP(B124,'CADERNO DE COMPOSIÇÃO'!$A$8:$J$15448,10,FALSE)</f>
        <v>79.88</v>
      </c>
      <c r="G124" s="1372">
        <f t="shared" si="35"/>
        <v>64.989999999999995</v>
      </c>
      <c r="H124" s="1381">
        <v>64.989999999999995</v>
      </c>
      <c r="I124" s="1374">
        <f t="shared" si="36"/>
        <v>97.63</v>
      </c>
      <c r="J124" s="77">
        <f t="shared" si="37"/>
        <v>6344.97</v>
      </c>
      <c r="K124" s="332">
        <f>'COMP CIVIL'!F328</f>
        <v>80.16</v>
      </c>
      <c r="L124" s="476" t="s">
        <v>1513</v>
      </c>
      <c r="Q124" t="str">
        <f t="shared" si="23"/>
        <v>ok</v>
      </c>
      <c r="R124" t="str">
        <f t="shared" si="24"/>
        <v>ok</v>
      </c>
      <c r="S124" t="str">
        <f t="shared" si="25"/>
        <v>ok</v>
      </c>
      <c r="T124" t="str">
        <f t="shared" si="26"/>
        <v>ok</v>
      </c>
      <c r="U124" s="99">
        <v>80.16</v>
      </c>
      <c r="V124" s="1822">
        <v>64.989999999999995</v>
      </c>
      <c r="W124" s="1822">
        <v>97.97</v>
      </c>
      <c r="X124" s="1822">
        <v>6367.07</v>
      </c>
    </row>
    <row r="125" spans="1:24" ht="15.75" thickBot="1">
      <c r="A125" s="431"/>
      <c r="B125" s="1094"/>
      <c r="C125" s="1101"/>
      <c r="D125" s="1102"/>
      <c r="E125" s="1096"/>
      <c r="F125" s="1320"/>
      <c r="G125" s="1097"/>
      <c r="H125" s="1098"/>
      <c r="I125" s="1436" t="s">
        <v>15</v>
      </c>
      <c r="J125" s="1099">
        <f>TRUNC(SUM(J115:J124),2)</f>
        <v>101468.36</v>
      </c>
      <c r="K125" s="99"/>
      <c r="L125" s="53"/>
      <c r="Q125" t="str">
        <f t="shared" si="23"/>
        <v>ok</v>
      </c>
      <c r="R125" t="str">
        <f t="shared" si="24"/>
        <v>ok</v>
      </c>
      <c r="S125" t="str">
        <f t="shared" si="25"/>
        <v>ok</v>
      </c>
      <c r="T125" t="str">
        <f t="shared" si="26"/>
        <v>ok</v>
      </c>
      <c r="U125" s="99"/>
      <c r="W125" s="1825" t="s">
        <v>15</v>
      </c>
      <c r="X125" s="1822">
        <v>101837.95</v>
      </c>
    </row>
    <row r="126" spans="1:24">
      <c r="A126" s="456">
        <v>8</v>
      </c>
      <c r="B126" s="458"/>
      <c r="C126" s="358" t="s">
        <v>71</v>
      </c>
      <c r="D126" s="359"/>
      <c r="E126" s="1077"/>
      <c r="F126" s="1077"/>
      <c r="G126" s="646" t="str">
        <f t="shared" ref="G126:G141" si="38">IF(OR(E126&lt;=0)," ",TRUNC(H126,2))</f>
        <v xml:space="preserve"> </v>
      </c>
      <c r="H126" s="647"/>
      <c r="I126" s="647" t="str">
        <f>IF(OR(E126&lt;=0)," ",TRUNC((E126*(1+$J$11)),2))</f>
        <v xml:space="preserve"> </v>
      </c>
      <c r="J126" s="362" t="str">
        <f>IF(OR(E126&lt;=0)," ",TRUNC((I126*G126),2))</f>
        <v xml:space="preserve"> </v>
      </c>
      <c r="K126" s="99"/>
      <c r="L126" s="53"/>
      <c r="Q126" t="str">
        <f t="shared" si="23"/>
        <v>ok</v>
      </c>
      <c r="R126" t="str">
        <f t="shared" si="24"/>
        <v>ok</v>
      </c>
      <c r="S126" t="str">
        <f t="shared" si="25"/>
        <v>ok</v>
      </c>
      <c r="T126" t="str">
        <f t="shared" si="26"/>
        <v>ok</v>
      </c>
      <c r="U126" s="99"/>
      <c r="V126" t="s">
        <v>42</v>
      </c>
      <c r="W126" s="1822" t="s">
        <v>42</v>
      </c>
      <c r="X126" s="1822" t="s">
        <v>42</v>
      </c>
    </row>
    <row r="127" spans="1:24" ht="15.75" customHeight="1">
      <c r="A127" s="1656" t="s">
        <v>41</v>
      </c>
      <c r="B127" s="1629"/>
      <c r="C127" s="1103" t="s">
        <v>1236</v>
      </c>
      <c r="D127" s="1629"/>
      <c r="E127" s="1631"/>
      <c r="F127" s="1631"/>
      <c r="G127" s="1632" t="str">
        <f t="shared" si="38"/>
        <v xml:space="preserve"> </v>
      </c>
      <c r="H127" s="1628"/>
      <c r="I127" s="1628" t="str">
        <f>IF(OR(E127&lt;=0)," ",TRUNC((E127*(1+$J$11)),2))</f>
        <v xml:space="preserve"> </v>
      </c>
      <c r="J127" s="178" t="str">
        <f>IF(OR(E127&lt;=0)," ",TRUNC((I127*G127),2))</f>
        <v xml:space="preserve"> </v>
      </c>
      <c r="K127" s="99"/>
      <c r="L127" s="305"/>
      <c r="Q127" t="str">
        <f t="shared" si="23"/>
        <v>ok</v>
      </c>
      <c r="R127" t="str">
        <f t="shared" si="24"/>
        <v>ok</v>
      </c>
      <c r="S127" t="str">
        <f t="shared" si="25"/>
        <v>ok</v>
      </c>
      <c r="T127" t="str">
        <f t="shared" si="26"/>
        <v>ok</v>
      </c>
      <c r="U127" s="99"/>
      <c r="V127" s="1822" t="s">
        <v>42</v>
      </c>
      <c r="W127" s="1822" t="s">
        <v>42</v>
      </c>
      <c r="X127" s="1822" t="s">
        <v>42</v>
      </c>
    </row>
    <row r="128" spans="1:24" ht="16.5" customHeight="1">
      <c r="A128" s="1647" t="s">
        <v>1238</v>
      </c>
      <c r="B128" s="1318" t="s">
        <v>157</v>
      </c>
      <c r="C128" s="1657" t="s">
        <v>1442</v>
      </c>
      <c r="D128" s="1380" t="s">
        <v>55</v>
      </c>
      <c r="E128" s="1314">
        <f>K128</f>
        <v>2230.44</v>
      </c>
      <c r="F128" s="1320">
        <f>VLOOKUP(B128,'CADERNO DE COMPOSIÇÃO'!$A$8:$J$15448,10,FALSE)</f>
        <v>2219.0500000000002</v>
      </c>
      <c r="G128" s="1372">
        <f t="shared" si="38"/>
        <v>1</v>
      </c>
      <c r="H128" s="1381">
        <v>1</v>
      </c>
      <c r="I128" s="1374">
        <f t="shared" ref="I128:I130" si="39">TRUNC(F128*(1+$J$11),2)</f>
        <v>2712.34</v>
      </c>
      <c r="J128" s="77">
        <f t="shared" ref="J128:J130" si="40">TRUNC(I128*G128,2)</f>
        <v>2712.34</v>
      </c>
      <c r="K128" s="332">
        <f>'COMP CIVIL'!F128</f>
        <v>2230.44</v>
      </c>
      <c r="L128" s="306" t="s">
        <v>367</v>
      </c>
      <c r="Q128" t="str">
        <f t="shared" si="23"/>
        <v>ok</v>
      </c>
      <c r="R128" t="str">
        <f t="shared" si="24"/>
        <v>ok</v>
      </c>
      <c r="S128" t="str">
        <f t="shared" si="25"/>
        <v>ok</v>
      </c>
      <c r="T128" t="str">
        <f t="shared" si="26"/>
        <v>ok</v>
      </c>
      <c r="U128" s="99">
        <v>2230.44</v>
      </c>
      <c r="V128" s="1822">
        <v>1</v>
      </c>
      <c r="W128" s="1822">
        <v>2726.26</v>
      </c>
      <c r="X128" s="1822">
        <v>2726.26</v>
      </c>
    </row>
    <row r="129" spans="1:24" ht="75.75" customHeight="1">
      <c r="A129" s="1647" t="s">
        <v>1239</v>
      </c>
      <c r="B129" s="1304">
        <v>90845</v>
      </c>
      <c r="C129" s="1311" t="s">
        <v>1443</v>
      </c>
      <c r="D129" s="1380" t="s">
        <v>55</v>
      </c>
      <c r="E129" s="1314">
        <v>1379.51</v>
      </c>
      <c r="F129" s="1320">
        <f>VLOOKUP(B129,'CADERNO DE COMPOSIÇÃO'!$A$8:$J$15448,10,FALSE)</f>
        <v>1372.3999999999999</v>
      </c>
      <c r="G129" s="1372">
        <f t="shared" si="38"/>
        <v>3</v>
      </c>
      <c r="H129" s="1381">
        <v>3</v>
      </c>
      <c r="I129" s="1374">
        <f t="shared" si="39"/>
        <v>1677.48</v>
      </c>
      <c r="J129" s="77">
        <f t="shared" si="40"/>
        <v>5032.4399999999996</v>
      </c>
      <c r="K129" s="99"/>
      <c r="L129" s="306" t="s">
        <v>1463</v>
      </c>
      <c r="Q129" t="str">
        <f t="shared" si="23"/>
        <v>ok</v>
      </c>
      <c r="R129" t="str">
        <f t="shared" si="24"/>
        <v>ok</v>
      </c>
      <c r="S129" t="str">
        <f t="shared" si="25"/>
        <v>ok</v>
      </c>
      <c r="T129" t="str">
        <f t="shared" si="26"/>
        <v>ok</v>
      </c>
      <c r="U129" s="99">
        <v>1379.51</v>
      </c>
      <c r="V129" s="1822">
        <v>3</v>
      </c>
      <c r="W129" s="1822">
        <v>1686.17</v>
      </c>
      <c r="X129" s="1822">
        <v>5058.51</v>
      </c>
    </row>
    <row r="130" spans="1:24" ht="31.5" customHeight="1">
      <c r="A130" s="1647" t="s">
        <v>1680</v>
      </c>
      <c r="B130" s="1304" t="s">
        <v>1457</v>
      </c>
      <c r="C130" s="1311" t="s">
        <v>2236</v>
      </c>
      <c r="D130" s="1380" t="s">
        <v>55</v>
      </c>
      <c r="E130" s="1314">
        <f>K130</f>
        <v>1760</v>
      </c>
      <c r="F130" s="1320">
        <f>VLOOKUP(B130,'CADERNO DE COMPOSIÇÃO'!$A$8:$J$15448,10,FALSE)</f>
        <v>1751.02</v>
      </c>
      <c r="G130" s="1372">
        <f t="shared" si="38"/>
        <v>1</v>
      </c>
      <c r="H130" s="1381">
        <v>1</v>
      </c>
      <c r="I130" s="1374">
        <f t="shared" si="39"/>
        <v>2140.27</v>
      </c>
      <c r="J130" s="77">
        <f t="shared" si="40"/>
        <v>2140.27</v>
      </c>
      <c r="K130" s="332">
        <f>'COMP CIVIL'!F93</f>
        <v>1760</v>
      </c>
      <c r="L130" s="306" t="s">
        <v>709</v>
      </c>
      <c r="Q130" t="str">
        <f t="shared" si="23"/>
        <v>ok</v>
      </c>
      <c r="R130" t="str">
        <f t="shared" si="24"/>
        <v>ok</v>
      </c>
      <c r="S130" t="str">
        <f t="shared" si="25"/>
        <v>ok</v>
      </c>
      <c r="T130" t="str">
        <f t="shared" si="26"/>
        <v>ok</v>
      </c>
      <c r="U130" s="99">
        <v>1760</v>
      </c>
      <c r="V130" s="1822">
        <v>1</v>
      </c>
      <c r="W130" s="1822">
        <v>2151.2399999999998</v>
      </c>
      <c r="X130" s="1822">
        <v>2151.2399999999998</v>
      </c>
    </row>
    <row r="131" spans="1:24" ht="14.25" customHeight="1">
      <c r="A131" s="1656" t="s">
        <v>136</v>
      </c>
      <c r="B131" s="1629"/>
      <c r="C131" s="1630" t="s">
        <v>1237</v>
      </c>
      <c r="D131" s="1629"/>
      <c r="E131" s="1631"/>
      <c r="F131" s="1631"/>
      <c r="G131" s="1632" t="str">
        <f t="shared" si="38"/>
        <v xml:space="preserve"> </v>
      </c>
      <c r="H131" s="1628"/>
      <c r="I131" s="1628" t="str">
        <f>IF(OR(E131&lt;=0)," ",TRUNC((E131*(1+$J$11)),2))</f>
        <v xml:space="preserve"> </v>
      </c>
      <c r="J131" s="178" t="str">
        <f>IF(OR(E131&lt;=0)," ",TRUNC((I131*G131),2))</f>
        <v xml:space="preserve"> </v>
      </c>
      <c r="K131" s="99"/>
      <c r="L131" s="322"/>
      <c r="Q131" t="str">
        <f t="shared" si="23"/>
        <v>ok</v>
      </c>
      <c r="R131" t="str">
        <f t="shared" si="24"/>
        <v>ok</v>
      </c>
      <c r="S131" t="str">
        <f t="shared" si="25"/>
        <v>ok</v>
      </c>
      <c r="T131" t="str">
        <f t="shared" si="26"/>
        <v>ok</v>
      </c>
      <c r="U131" s="99"/>
      <c r="V131" s="1822" t="s">
        <v>42</v>
      </c>
      <c r="W131" s="1822" t="s">
        <v>42</v>
      </c>
      <c r="X131" s="1822" t="s">
        <v>42</v>
      </c>
    </row>
    <row r="132" spans="1:24" ht="34.5" customHeight="1">
      <c r="A132" s="1647" t="s">
        <v>1670</v>
      </c>
      <c r="B132" s="1318">
        <v>101965</v>
      </c>
      <c r="C132" s="1311" t="s">
        <v>1720</v>
      </c>
      <c r="D132" s="181" t="s">
        <v>54</v>
      </c>
      <c r="E132" s="1314">
        <v>123.51</v>
      </c>
      <c r="F132" s="1320">
        <f>VLOOKUP(B132,'CADERNO DE COMPOSIÇÃO'!$A$8:$J$15448,10,FALSE)</f>
        <v>122.94000000000001</v>
      </c>
      <c r="G132" s="1372">
        <f t="shared" si="38"/>
        <v>31.5</v>
      </c>
      <c r="H132" s="1381">
        <v>31.5</v>
      </c>
      <c r="I132" s="1374">
        <f t="shared" ref="I132:I137" si="41">TRUNC(F132*(1+$J$11),2)</f>
        <v>150.26</v>
      </c>
      <c r="J132" s="77">
        <f t="shared" ref="J132:J137" si="42">TRUNC(I132*G132,2)</f>
        <v>4733.1899999999996</v>
      </c>
      <c r="K132" s="99"/>
      <c r="L132" s="454"/>
      <c r="Q132" t="str">
        <f t="shared" si="23"/>
        <v>ok</v>
      </c>
      <c r="R132" t="str">
        <f t="shared" si="24"/>
        <v>ok</v>
      </c>
      <c r="S132" t="str">
        <f t="shared" si="25"/>
        <v>ok</v>
      </c>
      <c r="T132" t="str">
        <f t="shared" si="26"/>
        <v>ok</v>
      </c>
      <c r="U132" s="99">
        <v>123.51</v>
      </c>
      <c r="V132" s="1822">
        <v>31.5</v>
      </c>
      <c r="W132" s="1822">
        <v>150.96</v>
      </c>
      <c r="X132" s="1822">
        <v>4755.24</v>
      </c>
    </row>
    <row r="133" spans="1:24" ht="18.75" customHeight="1">
      <c r="A133" s="1647" t="s">
        <v>1240</v>
      </c>
      <c r="B133" s="1318">
        <v>98689</v>
      </c>
      <c r="C133" s="1311" t="s">
        <v>419</v>
      </c>
      <c r="D133" s="181" t="s">
        <v>54</v>
      </c>
      <c r="E133" s="1314">
        <v>138.53</v>
      </c>
      <c r="F133" s="1320">
        <f>VLOOKUP(B133,'CADERNO DE COMPOSIÇÃO'!$A$8:$J$15448,10,FALSE)</f>
        <v>137.90000000000003</v>
      </c>
      <c r="G133" s="1372">
        <f t="shared" si="38"/>
        <v>3.8</v>
      </c>
      <c r="H133" s="1381">
        <v>3.8</v>
      </c>
      <c r="I133" s="1374">
        <f t="shared" si="41"/>
        <v>168.55</v>
      </c>
      <c r="J133" s="77">
        <f t="shared" si="42"/>
        <v>640.49</v>
      </c>
      <c r="K133" s="99"/>
      <c r="L133" s="454">
        <f>1.3*2.1</f>
        <v>2.7300000000000004</v>
      </c>
      <c r="Q133" t="str">
        <f t="shared" si="23"/>
        <v>ok</v>
      </c>
      <c r="R133" t="str">
        <f t="shared" si="24"/>
        <v>ok</v>
      </c>
      <c r="S133" t="str">
        <f t="shared" si="25"/>
        <v>ok</v>
      </c>
      <c r="T133" t="str">
        <f t="shared" si="26"/>
        <v>ok</v>
      </c>
      <c r="U133" s="99">
        <v>138.53</v>
      </c>
      <c r="V133" s="1822">
        <v>3.8</v>
      </c>
      <c r="W133" s="1822">
        <v>169.32</v>
      </c>
      <c r="X133" s="1822">
        <v>643.41</v>
      </c>
    </row>
    <row r="134" spans="1:24" ht="33" customHeight="1">
      <c r="A134" s="1647" t="s">
        <v>1241</v>
      </c>
      <c r="B134" s="1318" t="s">
        <v>557</v>
      </c>
      <c r="C134" s="1322" t="s">
        <v>1458</v>
      </c>
      <c r="D134" s="1380" t="s">
        <v>55</v>
      </c>
      <c r="E134" s="1314">
        <f>K134</f>
        <v>3931.27</v>
      </c>
      <c r="F134" s="1320">
        <f>VLOOKUP(B134,'CADERNO DE COMPOSIÇÃO'!$A$8:$J$15448,10,FALSE)</f>
        <v>3911.97</v>
      </c>
      <c r="G134" s="1372">
        <f t="shared" si="38"/>
        <v>2</v>
      </c>
      <c r="H134" s="1381">
        <v>2</v>
      </c>
      <c r="I134" s="1374">
        <f t="shared" si="41"/>
        <v>4781.6000000000004</v>
      </c>
      <c r="J134" s="77">
        <f t="shared" si="42"/>
        <v>9563.2000000000007</v>
      </c>
      <c r="K134" s="332">
        <f>'COMP CIVIL'!F76</f>
        <v>3931.27</v>
      </c>
      <c r="L134" s="312" t="s">
        <v>2114</v>
      </c>
      <c r="Q134" t="str">
        <f t="shared" si="23"/>
        <v>ok</v>
      </c>
      <c r="R134" t="str">
        <f t="shared" si="24"/>
        <v>ok</v>
      </c>
      <c r="S134" t="str">
        <f t="shared" si="25"/>
        <v>ok</v>
      </c>
      <c r="T134" t="str">
        <f t="shared" si="26"/>
        <v>ok</v>
      </c>
      <c r="U134" s="99">
        <v>3931.27</v>
      </c>
      <c r="V134" s="1822">
        <v>2</v>
      </c>
      <c r="W134" s="1822">
        <v>4805.1899999999996</v>
      </c>
      <c r="X134" s="1822">
        <v>9610.3799999999992</v>
      </c>
    </row>
    <row r="135" spans="1:24" ht="35.25" customHeight="1">
      <c r="A135" s="1647" t="s">
        <v>1242</v>
      </c>
      <c r="B135" s="1318">
        <v>91341</v>
      </c>
      <c r="C135" s="436" t="s">
        <v>1438</v>
      </c>
      <c r="D135" s="1380" t="s">
        <v>46</v>
      </c>
      <c r="E135" s="1314">
        <v>636.34</v>
      </c>
      <c r="F135" s="1320">
        <f>VLOOKUP(B135,'CADERNO DE COMPOSIÇÃO'!$A$8:$J$15448,10,FALSE)</f>
        <v>633.11</v>
      </c>
      <c r="G135" s="1372">
        <f t="shared" si="38"/>
        <v>10.49</v>
      </c>
      <c r="H135" s="1381">
        <v>10.49</v>
      </c>
      <c r="I135" s="1374">
        <f t="shared" si="41"/>
        <v>773.85</v>
      </c>
      <c r="J135" s="77">
        <f t="shared" si="42"/>
        <v>8117.68</v>
      </c>
      <c r="K135" s="99"/>
      <c r="L135" s="312" t="s">
        <v>1437</v>
      </c>
      <c r="Q135" t="str">
        <f t="shared" si="23"/>
        <v>ok</v>
      </c>
      <c r="R135" t="str">
        <f t="shared" si="24"/>
        <v>ok</v>
      </c>
      <c r="S135" t="str">
        <f t="shared" si="25"/>
        <v>ok</v>
      </c>
      <c r="T135" t="str">
        <f t="shared" si="26"/>
        <v>ok</v>
      </c>
      <c r="U135" s="99">
        <v>636.34</v>
      </c>
      <c r="V135" s="1822">
        <v>10.49</v>
      </c>
      <c r="W135" s="1822">
        <v>777.79</v>
      </c>
      <c r="X135" s="1822">
        <v>8159.01</v>
      </c>
    </row>
    <row r="136" spans="1:24" ht="46.5" customHeight="1">
      <c r="A136" s="1400" t="s">
        <v>1243</v>
      </c>
      <c r="B136" s="1318">
        <v>94569</v>
      </c>
      <c r="C136" s="1311" t="s">
        <v>140</v>
      </c>
      <c r="D136" s="1380" t="s">
        <v>46</v>
      </c>
      <c r="E136" s="1314">
        <v>705.35</v>
      </c>
      <c r="F136" s="1320">
        <f>VLOOKUP(B136,'CADERNO DE COMPOSIÇÃO'!$A$8:$J$15448,10,FALSE)</f>
        <v>701.80000000000007</v>
      </c>
      <c r="G136" s="1372">
        <f t="shared" si="38"/>
        <v>24.84</v>
      </c>
      <c r="H136" s="1381">
        <v>24.84</v>
      </c>
      <c r="I136" s="1374">
        <f t="shared" si="41"/>
        <v>857.81</v>
      </c>
      <c r="J136" s="77">
        <f t="shared" si="42"/>
        <v>21308</v>
      </c>
      <c r="K136" s="99"/>
      <c r="L136" s="312" t="s">
        <v>1436</v>
      </c>
      <c r="Q136" t="str">
        <f t="shared" si="23"/>
        <v>ok</v>
      </c>
      <c r="R136" t="str">
        <f t="shared" si="24"/>
        <v>ok</v>
      </c>
      <c r="S136" t="str">
        <f t="shared" si="25"/>
        <v>ok</v>
      </c>
      <c r="T136" t="str">
        <f t="shared" si="26"/>
        <v>ok</v>
      </c>
      <c r="U136" s="99">
        <v>705.35</v>
      </c>
      <c r="V136" s="1822">
        <v>24.84</v>
      </c>
      <c r="W136" s="1822">
        <v>862.14</v>
      </c>
      <c r="X136" s="1822">
        <v>21415.55</v>
      </c>
    </row>
    <row r="137" spans="1:24" ht="61.5" customHeight="1">
      <c r="A137" s="1400" t="s">
        <v>1244</v>
      </c>
      <c r="B137" s="1318">
        <v>94570</v>
      </c>
      <c r="C137" s="1311" t="s">
        <v>1719</v>
      </c>
      <c r="D137" s="1380" t="s">
        <v>46</v>
      </c>
      <c r="E137" s="1314">
        <v>366.71</v>
      </c>
      <c r="F137" s="1320">
        <f>VLOOKUP(B137,'CADERNO DE COMPOSIÇÃO'!$A$8:$J$15448,10,FALSE)</f>
        <v>364.84</v>
      </c>
      <c r="G137" s="1372">
        <f t="shared" si="38"/>
        <v>4.84</v>
      </c>
      <c r="H137" s="1381">
        <v>4.84</v>
      </c>
      <c r="I137" s="1374">
        <f t="shared" si="41"/>
        <v>445.94</v>
      </c>
      <c r="J137" s="77">
        <f t="shared" si="42"/>
        <v>2158.34</v>
      </c>
      <c r="K137" s="99"/>
      <c r="L137" s="455" t="s">
        <v>372</v>
      </c>
      <c r="Q137" t="str">
        <f t="shared" si="23"/>
        <v>ok</v>
      </c>
      <c r="R137" t="str">
        <f t="shared" si="24"/>
        <v>ok</v>
      </c>
      <c r="S137" t="str">
        <f t="shared" si="25"/>
        <v>ok</v>
      </c>
      <c r="T137" t="str">
        <f t="shared" si="26"/>
        <v>ok</v>
      </c>
      <c r="U137" s="99">
        <v>366.71</v>
      </c>
      <c r="V137" s="1822">
        <v>4.84</v>
      </c>
      <c r="W137" s="1822">
        <v>448.22</v>
      </c>
      <c r="X137" s="1822">
        <v>2169.38</v>
      </c>
    </row>
    <row r="138" spans="1:24" ht="12.75" customHeight="1">
      <c r="A138" s="1719" t="s">
        <v>137</v>
      </c>
      <c r="B138" s="1086"/>
      <c r="C138" s="1087" t="s">
        <v>1448</v>
      </c>
      <c r="D138" s="1086"/>
      <c r="E138" s="1088"/>
      <c r="F138" s="1088"/>
      <c r="G138" s="1089" t="str">
        <f t="shared" si="38"/>
        <v xml:space="preserve"> </v>
      </c>
      <c r="H138" s="1090"/>
      <c r="I138" s="1090" t="str">
        <f>IF(OR(E138&lt;=0)," ",TRUNC((E138*(1+$J$11)),2))</f>
        <v xml:space="preserve"> </v>
      </c>
      <c r="J138" s="1091" t="str">
        <f>IF(OR(E138&lt;=0)," ",TRUNC((I138*G138),2))</f>
        <v xml:space="preserve"> </v>
      </c>
      <c r="K138" s="99"/>
      <c r="L138" s="53"/>
      <c r="Q138" t="str">
        <f t="shared" si="23"/>
        <v>ok</v>
      </c>
      <c r="R138" t="str">
        <f t="shared" si="24"/>
        <v>ok</v>
      </c>
      <c r="S138" t="str">
        <f t="shared" si="25"/>
        <v>ok</v>
      </c>
      <c r="T138" t="str">
        <f t="shared" si="26"/>
        <v>ok</v>
      </c>
      <c r="U138" s="99"/>
      <c r="V138" s="1822" t="s">
        <v>42</v>
      </c>
      <c r="W138" s="1822" t="s">
        <v>42</v>
      </c>
      <c r="X138" s="1822" t="s">
        <v>42</v>
      </c>
    </row>
    <row r="139" spans="1:24" ht="28.5">
      <c r="A139" s="459" t="s">
        <v>1671</v>
      </c>
      <c r="B139" s="1304" t="s">
        <v>563</v>
      </c>
      <c r="C139" s="1591" t="s">
        <v>1445</v>
      </c>
      <c r="D139" s="1380" t="s">
        <v>55</v>
      </c>
      <c r="E139" s="1314">
        <f>K139</f>
        <v>3594</v>
      </c>
      <c r="F139" s="1320">
        <f>VLOOKUP(B139,'CADERNO DE COMPOSIÇÃO'!$A$8:$J$15448,10,FALSE)</f>
        <v>3575.67</v>
      </c>
      <c r="G139" s="1372">
        <f t="shared" si="38"/>
        <v>1</v>
      </c>
      <c r="H139" s="1381">
        <v>1</v>
      </c>
      <c r="I139" s="1374">
        <f t="shared" ref="I139:I141" si="43">TRUNC(F139*(1+$J$11),2)</f>
        <v>4370.54</v>
      </c>
      <c r="J139" s="77">
        <f t="shared" ref="J139:J141" si="44">TRUNC(I139*G139,2)</f>
        <v>4370.54</v>
      </c>
      <c r="K139" s="332">
        <f>'COMP CIVIL'!F163</f>
        <v>3594</v>
      </c>
      <c r="L139" s="312" t="s">
        <v>714</v>
      </c>
      <c r="Q139" t="str">
        <f t="shared" si="23"/>
        <v>ok</v>
      </c>
      <c r="R139" t="str">
        <f t="shared" si="24"/>
        <v>ok</v>
      </c>
      <c r="S139" t="str">
        <f t="shared" si="25"/>
        <v>ok</v>
      </c>
      <c r="T139" t="str">
        <f t="shared" si="26"/>
        <v>ok</v>
      </c>
      <c r="U139" s="99">
        <v>3594</v>
      </c>
      <c r="V139" s="1822">
        <v>1</v>
      </c>
      <c r="W139" s="1822">
        <v>4392.9399999999996</v>
      </c>
      <c r="X139" s="1822">
        <v>4392.9399999999996</v>
      </c>
    </row>
    <row r="140" spans="1:24" ht="28.5">
      <c r="A140" s="1092" t="s">
        <v>1672</v>
      </c>
      <c r="B140" s="1032" t="s">
        <v>104</v>
      </c>
      <c r="C140" s="1590" t="s">
        <v>1447</v>
      </c>
      <c r="D140" s="1200" t="s">
        <v>55</v>
      </c>
      <c r="E140" s="1073">
        <f>K140</f>
        <v>8814</v>
      </c>
      <c r="F140" s="1320">
        <f>VLOOKUP(B140,'CADERNO DE COMPOSIÇÃO'!$A$8:$J$15448,10,FALSE)</f>
        <v>8769.0400000000009</v>
      </c>
      <c r="G140" s="1079">
        <f t="shared" si="38"/>
        <v>2</v>
      </c>
      <c r="H140" s="1080">
        <v>2</v>
      </c>
      <c r="I140" s="1034">
        <f t="shared" si="43"/>
        <v>10718.39</v>
      </c>
      <c r="J140" s="1037">
        <f t="shared" si="44"/>
        <v>21436.78</v>
      </c>
      <c r="K140" s="332">
        <f>'COMP CIVIL'!F180</f>
        <v>8814</v>
      </c>
      <c r="L140" s="312" t="s">
        <v>716</v>
      </c>
      <c r="Q140" t="str">
        <f t="shared" si="23"/>
        <v>ok</v>
      </c>
      <c r="R140" t="str">
        <f t="shared" si="24"/>
        <v>ok</v>
      </c>
      <c r="S140" t="str">
        <f t="shared" si="25"/>
        <v>ok</v>
      </c>
      <c r="T140" t="str">
        <f t="shared" si="26"/>
        <v>ok</v>
      </c>
      <c r="U140" s="99">
        <v>8814</v>
      </c>
      <c r="V140" s="1822">
        <v>2</v>
      </c>
      <c r="W140" s="1822">
        <v>10773.35</v>
      </c>
      <c r="X140" s="1822">
        <v>21546.7</v>
      </c>
    </row>
    <row r="141" spans="1:24" ht="28.5">
      <c r="A141" s="1651" t="s">
        <v>1673</v>
      </c>
      <c r="B141" s="1304" t="s">
        <v>106</v>
      </c>
      <c r="C141" s="1591" t="s">
        <v>1467</v>
      </c>
      <c r="D141" s="1380" t="s">
        <v>55</v>
      </c>
      <c r="E141" s="1314">
        <f>K141</f>
        <v>3840</v>
      </c>
      <c r="F141" s="1320">
        <f>VLOOKUP(B141,'CADERNO DE COMPOSIÇÃO'!$A$8:$J$15448,10,FALSE)</f>
        <v>3820.41</v>
      </c>
      <c r="G141" s="1372">
        <f t="shared" si="38"/>
        <v>1</v>
      </c>
      <c r="H141" s="1381">
        <v>1</v>
      </c>
      <c r="I141" s="1374">
        <f t="shared" si="43"/>
        <v>4669.68</v>
      </c>
      <c r="J141" s="77">
        <f t="shared" si="44"/>
        <v>4669.68</v>
      </c>
      <c r="K141" s="332">
        <f>'COMP CIVIL'!F212</f>
        <v>3840</v>
      </c>
      <c r="L141" s="312" t="s">
        <v>364</v>
      </c>
      <c r="Q141" t="str">
        <f t="shared" si="23"/>
        <v>ok</v>
      </c>
      <c r="R141" t="str">
        <f t="shared" si="24"/>
        <v>ok</v>
      </c>
      <c r="S141" t="str">
        <f t="shared" si="25"/>
        <v>ok</v>
      </c>
      <c r="T141" t="str">
        <f t="shared" si="26"/>
        <v>ok</v>
      </c>
      <c r="U141" s="99">
        <v>3840</v>
      </c>
      <c r="V141" s="1822">
        <v>1</v>
      </c>
      <c r="W141" s="1822">
        <v>4693.63</v>
      </c>
      <c r="X141" s="1822">
        <v>4693.63</v>
      </c>
    </row>
    <row r="142" spans="1:24" ht="15.75" thickBot="1">
      <c r="A142" s="1648"/>
      <c r="B142" s="1409"/>
      <c r="C142" s="1409"/>
      <c r="D142" s="1409"/>
      <c r="E142" s="1329"/>
      <c r="F142" s="1329"/>
      <c r="G142" s="1435"/>
      <c r="H142" s="1378"/>
      <c r="I142" s="1436" t="s">
        <v>15</v>
      </c>
      <c r="J142" s="79">
        <f>TRUNC(SUM(J128:J141),2)</f>
        <v>86882.95</v>
      </c>
      <c r="K142" s="99"/>
      <c r="L142" s="53"/>
      <c r="Q142" t="str">
        <f t="shared" si="23"/>
        <v>ok</v>
      </c>
      <c r="R142" t="str">
        <f t="shared" si="24"/>
        <v>ok</v>
      </c>
      <c r="S142" t="str">
        <f t="shared" si="25"/>
        <v>ok</v>
      </c>
      <c r="T142" t="str">
        <f t="shared" si="26"/>
        <v>ok</v>
      </c>
      <c r="U142" s="99"/>
      <c r="W142" s="1825" t="s">
        <v>15</v>
      </c>
      <c r="X142" s="1822">
        <v>87322.25</v>
      </c>
    </row>
    <row r="143" spans="1:24">
      <c r="A143" s="356">
        <v>9</v>
      </c>
      <c r="B143" s="357"/>
      <c r="C143" s="358" t="s">
        <v>92</v>
      </c>
      <c r="D143" s="359"/>
      <c r="E143" s="1077"/>
      <c r="F143" s="1077"/>
      <c r="G143" s="646"/>
      <c r="H143" s="647"/>
      <c r="I143" s="647"/>
      <c r="J143" s="362"/>
      <c r="K143" s="273"/>
      <c r="L143" s="53"/>
      <c r="Q143" t="str">
        <f t="shared" si="23"/>
        <v>ok</v>
      </c>
      <c r="R143" t="str">
        <f t="shared" si="24"/>
        <v>ok</v>
      </c>
      <c r="S143" t="str">
        <f t="shared" si="25"/>
        <v>ok</v>
      </c>
      <c r="T143" t="str">
        <f t="shared" si="26"/>
        <v>ok</v>
      </c>
      <c r="U143" s="99"/>
      <c r="W143" s="1822"/>
      <c r="X143" s="1822"/>
    </row>
    <row r="144" spans="1:24" ht="15.75" customHeight="1">
      <c r="A144" s="1658" t="s">
        <v>74</v>
      </c>
      <c r="B144" s="1629"/>
      <c r="C144" s="1630" t="s">
        <v>1247</v>
      </c>
      <c r="D144" s="1629"/>
      <c r="E144" s="1631"/>
      <c r="F144" s="1631"/>
      <c r="G144" s="1632" t="str">
        <f t="shared" ref="G144:G155" si="45">IF(OR(E144&lt;=0)," ",TRUNC(H144,2))</f>
        <v xml:space="preserve"> </v>
      </c>
      <c r="H144" s="1628"/>
      <c r="I144" s="1628" t="str">
        <f>IF(OR(E144&lt;=0)," ",TRUNC((E144*(1+$J$11)),2))</f>
        <v xml:space="preserve"> </v>
      </c>
      <c r="J144" s="178" t="str">
        <f>IF(OR(E144&lt;=0)," ",TRUNC((I144*G144),2))</f>
        <v xml:space="preserve"> </v>
      </c>
      <c r="K144" s="329"/>
      <c r="L144" s="309"/>
      <c r="Q144" t="str">
        <f t="shared" si="23"/>
        <v>ok</v>
      </c>
      <c r="R144" t="str">
        <f t="shared" si="24"/>
        <v>ok</v>
      </c>
      <c r="S144" t="str">
        <f t="shared" si="25"/>
        <v>ok</v>
      </c>
      <c r="T144" t="str">
        <f t="shared" si="26"/>
        <v>ok</v>
      </c>
      <c r="U144" s="99"/>
      <c r="V144" s="1822" t="s">
        <v>42</v>
      </c>
      <c r="W144" s="1822" t="s">
        <v>42</v>
      </c>
      <c r="X144" s="1822" t="s">
        <v>42</v>
      </c>
    </row>
    <row r="145" spans="1:24" ht="30" customHeight="1">
      <c r="A145" s="1651" t="s">
        <v>1245</v>
      </c>
      <c r="B145" s="931">
        <v>96135</v>
      </c>
      <c r="C145" s="1659" t="s">
        <v>564</v>
      </c>
      <c r="D145" s="1376" t="s">
        <v>46</v>
      </c>
      <c r="E145" s="1073">
        <v>28.7</v>
      </c>
      <c r="F145" s="1320">
        <f>VLOOKUP(B145,'CADERNO DE COMPOSIÇÃO'!$A$8:$J$15448,10,FALSE)</f>
        <v>28.64</v>
      </c>
      <c r="G145" s="1372">
        <f t="shared" si="45"/>
        <v>447.85</v>
      </c>
      <c r="H145" s="1381">
        <v>447.85</v>
      </c>
      <c r="I145" s="1374">
        <f t="shared" ref="I145:I149" si="46">TRUNC(F145*(1+$J$11),2)</f>
        <v>35</v>
      </c>
      <c r="J145" s="77">
        <f t="shared" ref="J145:J149" si="47">TRUNC(I145*G145,2)</f>
        <v>15674.75</v>
      </c>
      <c r="K145" s="932"/>
      <c r="L145" s="309"/>
      <c r="Q145" t="str">
        <f t="shared" si="23"/>
        <v>ok</v>
      </c>
      <c r="R145" t="str">
        <f t="shared" si="24"/>
        <v>ok</v>
      </c>
      <c r="S145" t="str">
        <f t="shared" si="25"/>
        <v>ok</v>
      </c>
      <c r="T145" t="str">
        <f t="shared" si="26"/>
        <v>ok</v>
      </c>
      <c r="U145" s="99">
        <v>28.7</v>
      </c>
      <c r="V145" s="1822">
        <v>447.85</v>
      </c>
      <c r="W145" s="1822">
        <v>35.08</v>
      </c>
      <c r="X145" s="1822">
        <v>15710.57</v>
      </c>
    </row>
    <row r="146" spans="1:24" ht="30" customHeight="1">
      <c r="A146" s="1651" t="s">
        <v>1246</v>
      </c>
      <c r="B146" s="931">
        <v>88485</v>
      </c>
      <c r="C146" s="1311" t="s">
        <v>583</v>
      </c>
      <c r="D146" s="1376" t="s">
        <v>46</v>
      </c>
      <c r="E146" s="1073">
        <v>2.33</v>
      </c>
      <c r="F146" s="1320">
        <f>VLOOKUP(B146,'CADERNO DE COMPOSIÇÃO'!$A$8:$J$15448,10,FALSE)</f>
        <v>2.23</v>
      </c>
      <c r="G146" s="1372">
        <f t="shared" si="45"/>
        <v>447.85</v>
      </c>
      <c r="H146" s="1381">
        <v>447.85</v>
      </c>
      <c r="I146" s="1374">
        <f t="shared" si="46"/>
        <v>2.72</v>
      </c>
      <c r="J146" s="77">
        <f t="shared" si="47"/>
        <v>1218.1500000000001</v>
      </c>
      <c r="K146" s="932"/>
      <c r="L146" s="309"/>
      <c r="Q146" t="str">
        <f t="shared" ref="Q146:Q209" si="48">IF(F146&gt;U146,"CONFERIR","ok")</f>
        <v>ok</v>
      </c>
      <c r="R146" t="str">
        <f t="shared" ref="R146:R209" si="49">IF(G146&gt;V146,"CONFERIR","ok")</f>
        <v>ok</v>
      </c>
      <c r="S146" t="str">
        <f t="shared" ref="S146:S209" si="50">IF(I146&gt;W146,"CONFERIR","ok")</f>
        <v>ok</v>
      </c>
      <c r="T146" t="str">
        <f t="shared" ref="T146:T209" si="51">IF(J146&gt;X146,"CONFERIR","ok")</f>
        <v>ok</v>
      </c>
      <c r="U146" s="99">
        <v>2.33</v>
      </c>
      <c r="V146" s="1822">
        <v>447.85</v>
      </c>
      <c r="W146" s="1822">
        <v>2.84</v>
      </c>
      <c r="X146" s="1822">
        <v>1271.8900000000001</v>
      </c>
    </row>
    <row r="147" spans="1:24" ht="30" customHeight="1">
      <c r="A147" s="1651" t="s">
        <v>1359</v>
      </c>
      <c r="B147" s="931">
        <v>88489</v>
      </c>
      <c r="C147" s="1311" t="s">
        <v>117</v>
      </c>
      <c r="D147" s="1376" t="s">
        <v>46</v>
      </c>
      <c r="E147" s="1073">
        <v>14.99</v>
      </c>
      <c r="F147" s="1320">
        <f>VLOOKUP(B147,'CADERNO DE COMPOSIÇÃO'!$A$8:$J$15448,10,FALSE)</f>
        <v>14.95</v>
      </c>
      <c r="G147" s="1372">
        <f t="shared" si="45"/>
        <v>447.85</v>
      </c>
      <c r="H147" s="1381">
        <v>447.85</v>
      </c>
      <c r="I147" s="1374">
        <f t="shared" si="46"/>
        <v>18.27</v>
      </c>
      <c r="J147" s="77">
        <f t="shared" si="47"/>
        <v>8182.21</v>
      </c>
      <c r="K147" s="932"/>
      <c r="L147" s="309"/>
      <c r="Q147" t="str">
        <f t="shared" si="48"/>
        <v>ok</v>
      </c>
      <c r="R147" t="str">
        <f t="shared" si="49"/>
        <v>ok</v>
      </c>
      <c r="S147" t="str">
        <f t="shared" si="50"/>
        <v>ok</v>
      </c>
      <c r="T147" t="str">
        <f t="shared" si="51"/>
        <v>ok</v>
      </c>
      <c r="U147" s="99">
        <v>14.99</v>
      </c>
      <c r="V147" s="1822">
        <v>447.85</v>
      </c>
      <c r="W147" s="1822">
        <v>18.32</v>
      </c>
      <c r="X147" s="1822">
        <v>8204.61</v>
      </c>
    </row>
    <row r="148" spans="1:24" ht="30" customHeight="1">
      <c r="A148" s="1651" t="s">
        <v>1360</v>
      </c>
      <c r="B148" s="931">
        <v>88484</v>
      </c>
      <c r="C148" s="1311" t="s">
        <v>2070</v>
      </c>
      <c r="D148" s="1376" t="s">
        <v>46</v>
      </c>
      <c r="E148" s="1073">
        <v>2.63</v>
      </c>
      <c r="F148" s="1320">
        <f>VLOOKUP(B148,'CADERNO DE COMPOSIÇÃO'!$A$8:$J$15448,10,FALSE)</f>
        <v>2.63</v>
      </c>
      <c r="G148" s="1372">
        <f t="shared" si="45"/>
        <v>257.43</v>
      </c>
      <c r="H148" s="1381">
        <v>257.43</v>
      </c>
      <c r="I148" s="1374">
        <f t="shared" si="46"/>
        <v>3.21</v>
      </c>
      <c r="J148" s="77">
        <f t="shared" si="47"/>
        <v>826.35</v>
      </c>
      <c r="K148" s="932"/>
      <c r="L148" s="309"/>
      <c r="Q148" t="str">
        <f t="shared" si="48"/>
        <v>ok</v>
      </c>
      <c r="R148" t="str">
        <f t="shared" si="49"/>
        <v>ok</v>
      </c>
      <c r="S148" t="str">
        <f t="shared" si="50"/>
        <v>ok</v>
      </c>
      <c r="T148" t="str">
        <f t="shared" si="51"/>
        <v>ok</v>
      </c>
      <c r="U148" s="99">
        <v>2.63</v>
      </c>
      <c r="V148" s="1822">
        <v>257.43</v>
      </c>
      <c r="W148" s="1822">
        <v>3.21</v>
      </c>
      <c r="X148" s="1822">
        <v>826.35</v>
      </c>
    </row>
    <row r="149" spans="1:24" ht="30" customHeight="1">
      <c r="A149" s="1651" t="s">
        <v>1361</v>
      </c>
      <c r="B149" s="931">
        <v>88488</v>
      </c>
      <c r="C149" s="1311" t="s">
        <v>2071</v>
      </c>
      <c r="D149" s="1376" t="s">
        <v>46</v>
      </c>
      <c r="E149" s="1073">
        <v>16.84</v>
      </c>
      <c r="F149" s="1320">
        <f>VLOOKUP(B149,'CADERNO DE COMPOSIÇÃO'!$A$8:$J$15448,10,FALSE)</f>
        <v>16.8</v>
      </c>
      <c r="G149" s="1372">
        <f t="shared" si="45"/>
        <v>215.84</v>
      </c>
      <c r="H149" s="1381">
        <v>215.84</v>
      </c>
      <c r="I149" s="1374">
        <f t="shared" si="46"/>
        <v>20.53</v>
      </c>
      <c r="J149" s="77">
        <f t="shared" si="47"/>
        <v>4431.1899999999996</v>
      </c>
      <c r="K149" s="932"/>
      <c r="L149" s="309"/>
      <c r="Q149" t="str">
        <f t="shared" si="48"/>
        <v>ok</v>
      </c>
      <c r="R149" t="str">
        <f t="shared" si="49"/>
        <v>ok</v>
      </c>
      <c r="S149" t="str">
        <f t="shared" si="50"/>
        <v>ok</v>
      </c>
      <c r="T149" t="str">
        <f t="shared" si="51"/>
        <v>ok</v>
      </c>
      <c r="U149" s="99">
        <v>16.84</v>
      </c>
      <c r="V149" s="1822">
        <v>215.84</v>
      </c>
      <c r="W149" s="1822">
        <v>20.58</v>
      </c>
      <c r="X149" s="1822">
        <v>4441.9799999999996</v>
      </c>
    </row>
    <row r="150" spans="1:24" ht="13.5" customHeight="1">
      <c r="A150" s="1658" t="s">
        <v>110</v>
      </c>
      <c r="B150" s="1629"/>
      <c r="C150" s="1630" t="s">
        <v>1248</v>
      </c>
      <c r="D150" s="1629"/>
      <c r="E150" s="1631"/>
      <c r="F150" s="1631"/>
      <c r="G150" s="1632" t="str">
        <f t="shared" si="45"/>
        <v xml:space="preserve"> </v>
      </c>
      <c r="H150" s="1628"/>
      <c r="I150" s="1628" t="str">
        <f>IF(OR(E150&lt;=0)," ",TRUNC((E150*(1+$J$11)),2))</f>
        <v xml:space="preserve"> </v>
      </c>
      <c r="J150" s="178" t="str">
        <f>IF(OR(E150&lt;=0)," ",TRUNC((I150*G150),2))</f>
        <v xml:space="preserve"> </v>
      </c>
      <c r="K150" s="18"/>
      <c r="L150" s="308"/>
      <c r="Q150" t="str">
        <f t="shared" si="48"/>
        <v>ok</v>
      </c>
      <c r="R150" t="str">
        <f t="shared" si="49"/>
        <v>ok</v>
      </c>
      <c r="S150" t="str">
        <f t="shared" si="50"/>
        <v>ok</v>
      </c>
      <c r="T150" t="str">
        <f t="shared" si="51"/>
        <v>ok</v>
      </c>
      <c r="U150" s="99"/>
      <c r="V150" s="1822" t="s">
        <v>42</v>
      </c>
      <c r="W150" s="1822" t="s">
        <v>42</v>
      </c>
      <c r="X150" s="1822" t="s">
        <v>42</v>
      </c>
    </row>
    <row r="151" spans="1:24" ht="33.75" customHeight="1">
      <c r="A151" s="1651" t="s">
        <v>1249</v>
      </c>
      <c r="B151" s="931">
        <v>88415</v>
      </c>
      <c r="C151" s="1311" t="s">
        <v>584</v>
      </c>
      <c r="D151" s="1376" t="s">
        <v>46</v>
      </c>
      <c r="E151" s="1073">
        <v>2.62</v>
      </c>
      <c r="F151" s="1320">
        <f>VLOOKUP(B151,'CADERNO DE COMPOSIÇÃO'!$A$8:$J$15448,10,FALSE)</f>
        <v>2.6199999999999997</v>
      </c>
      <c r="G151" s="1372">
        <f t="shared" si="45"/>
        <v>436.63</v>
      </c>
      <c r="H151" s="1381">
        <v>436.63</v>
      </c>
      <c r="I151" s="1374">
        <f t="shared" ref="I151:I155" si="52">TRUNC(F151*(1+$J$11),2)</f>
        <v>3.2</v>
      </c>
      <c r="J151" s="77">
        <f t="shared" ref="J151:J155" si="53">TRUNC(I151*G151,2)</f>
        <v>1397.21</v>
      </c>
      <c r="K151" s="18"/>
      <c r="L151" s="308"/>
      <c r="Q151" t="str">
        <f t="shared" si="48"/>
        <v>ok</v>
      </c>
      <c r="R151" t="str">
        <f t="shared" si="49"/>
        <v>ok</v>
      </c>
      <c r="S151" t="str">
        <f t="shared" si="50"/>
        <v>ok</v>
      </c>
      <c r="T151" t="str">
        <f t="shared" si="51"/>
        <v>ok</v>
      </c>
      <c r="U151" s="99">
        <v>2.62</v>
      </c>
      <c r="V151" s="1822">
        <v>436.63</v>
      </c>
      <c r="W151" s="1822">
        <v>3.2</v>
      </c>
      <c r="X151" s="1822">
        <v>1397.21</v>
      </c>
    </row>
    <row r="152" spans="1:24" ht="33.75" customHeight="1">
      <c r="A152" s="1651" t="s">
        <v>1250</v>
      </c>
      <c r="B152" s="931">
        <v>88431</v>
      </c>
      <c r="C152" s="1311" t="s">
        <v>585</v>
      </c>
      <c r="D152" s="1376" t="s">
        <v>46</v>
      </c>
      <c r="E152" s="1314">
        <v>21.65</v>
      </c>
      <c r="F152" s="1320">
        <f>VLOOKUP(B152,'CADERNO DE COMPOSIÇÃO'!$A$8:$J$15448,10,FALSE)</f>
        <v>21.57</v>
      </c>
      <c r="G152" s="1372">
        <f t="shared" si="45"/>
        <v>436.63</v>
      </c>
      <c r="H152" s="1381">
        <v>436.63</v>
      </c>
      <c r="I152" s="1374">
        <f t="shared" si="52"/>
        <v>26.36</v>
      </c>
      <c r="J152" s="77">
        <f t="shared" si="53"/>
        <v>11509.56</v>
      </c>
      <c r="K152" s="18"/>
      <c r="L152" s="480" t="s">
        <v>2073</v>
      </c>
      <c r="Q152" t="str">
        <f t="shared" si="48"/>
        <v>ok</v>
      </c>
      <c r="R152" t="str">
        <f t="shared" si="49"/>
        <v>ok</v>
      </c>
      <c r="S152" t="str">
        <f t="shared" si="50"/>
        <v>ok</v>
      </c>
      <c r="T152" t="str">
        <f t="shared" si="51"/>
        <v>ok</v>
      </c>
      <c r="U152" s="99">
        <v>21.65</v>
      </c>
      <c r="V152" s="1822">
        <v>436.63</v>
      </c>
      <c r="W152" s="1822">
        <v>26.46</v>
      </c>
      <c r="X152" s="1822">
        <v>11553.22</v>
      </c>
    </row>
    <row r="153" spans="1:24" ht="33.75" customHeight="1">
      <c r="A153" s="1651" t="s">
        <v>1358</v>
      </c>
      <c r="B153" s="931">
        <v>95626</v>
      </c>
      <c r="C153" s="1311" t="s">
        <v>587</v>
      </c>
      <c r="D153" s="1376" t="s">
        <v>46</v>
      </c>
      <c r="E153" s="1314">
        <v>15.86</v>
      </c>
      <c r="F153" s="1320">
        <f>VLOOKUP(B153,'CADERNO DE COMPOSIÇÃO'!$A$8:$J$15448,10,FALSE)</f>
        <v>15.83</v>
      </c>
      <c r="G153" s="1372">
        <f t="shared" si="45"/>
        <v>436.63</v>
      </c>
      <c r="H153" s="1381">
        <v>436.63</v>
      </c>
      <c r="I153" s="1374">
        <f t="shared" si="52"/>
        <v>19.34</v>
      </c>
      <c r="J153" s="77">
        <f t="shared" si="53"/>
        <v>8444.42</v>
      </c>
      <c r="K153" s="18"/>
      <c r="L153" s="480" t="s">
        <v>2074</v>
      </c>
      <c r="Q153" t="str">
        <f t="shared" si="48"/>
        <v>ok</v>
      </c>
      <c r="R153" t="str">
        <f t="shared" si="49"/>
        <v>ok</v>
      </c>
      <c r="S153" t="str">
        <f t="shared" si="50"/>
        <v>ok</v>
      </c>
      <c r="T153" t="str">
        <f t="shared" si="51"/>
        <v>ok</v>
      </c>
      <c r="U153" s="99">
        <v>15.86</v>
      </c>
      <c r="V153" s="1822">
        <v>436.63</v>
      </c>
      <c r="W153" s="1822">
        <v>19.38</v>
      </c>
      <c r="X153" s="1822">
        <v>8461.8799999999992</v>
      </c>
    </row>
    <row r="154" spans="1:24" ht="15.75" customHeight="1">
      <c r="A154" s="1651" t="s">
        <v>2075</v>
      </c>
      <c r="B154" s="931" t="s">
        <v>2028</v>
      </c>
      <c r="C154" s="1659" t="s">
        <v>2079</v>
      </c>
      <c r="D154" s="1376" t="s">
        <v>46</v>
      </c>
      <c r="E154" s="1073">
        <f>K154</f>
        <v>27.89</v>
      </c>
      <c r="F154" s="1320">
        <f>VLOOKUP(B154,'CADERNO DE COMPOSIÇÃO'!$A$8:$J$15448,10,FALSE)</f>
        <v>27.77</v>
      </c>
      <c r="G154" s="1372">
        <f t="shared" si="45"/>
        <v>33.979999999999997</v>
      </c>
      <c r="H154" s="1381">
        <v>33.979999999999997</v>
      </c>
      <c r="I154" s="1374">
        <f t="shared" si="52"/>
        <v>33.94</v>
      </c>
      <c r="J154" s="77">
        <f t="shared" si="53"/>
        <v>1153.28</v>
      </c>
      <c r="K154" s="18">
        <f>'COMP CIVIL'!F476</f>
        <v>27.89</v>
      </c>
      <c r="L154" s="308" t="s">
        <v>2173</v>
      </c>
      <c r="Q154" t="str">
        <f t="shared" si="48"/>
        <v>ok</v>
      </c>
      <c r="R154" t="str">
        <f t="shared" si="49"/>
        <v>ok</v>
      </c>
      <c r="S154" t="str">
        <f t="shared" si="50"/>
        <v>ok</v>
      </c>
      <c r="T154" t="str">
        <f t="shared" si="51"/>
        <v>ok</v>
      </c>
      <c r="U154" s="99">
        <v>27.89</v>
      </c>
      <c r="V154" s="1822">
        <v>33.979999999999997</v>
      </c>
      <c r="W154" s="1822">
        <v>34.08</v>
      </c>
      <c r="X154" s="1822">
        <v>1158.03</v>
      </c>
    </row>
    <row r="155" spans="1:24" ht="34.5" customHeight="1">
      <c r="A155" s="1651" t="s">
        <v>2076</v>
      </c>
      <c r="B155" s="931">
        <v>88488</v>
      </c>
      <c r="C155" s="1311" t="s">
        <v>2071</v>
      </c>
      <c r="D155" s="1376" t="s">
        <v>46</v>
      </c>
      <c r="E155" s="1314">
        <v>16.84</v>
      </c>
      <c r="F155" s="1320">
        <f>VLOOKUP(B155,'CADERNO DE COMPOSIÇÃO'!$A$8:$J$15448,10,FALSE)</f>
        <v>16.8</v>
      </c>
      <c r="G155" s="1372">
        <f t="shared" si="45"/>
        <v>41.59</v>
      </c>
      <c r="H155" s="1381">
        <v>41.59</v>
      </c>
      <c r="I155" s="1374">
        <f t="shared" si="52"/>
        <v>20.53</v>
      </c>
      <c r="J155" s="77">
        <f t="shared" si="53"/>
        <v>853.84</v>
      </c>
      <c r="K155" s="18"/>
      <c r="L155" s="330" t="s">
        <v>2174</v>
      </c>
      <c r="Q155" t="str">
        <f t="shared" si="48"/>
        <v>ok</v>
      </c>
      <c r="R155" t="str">
        <f t="shared" si="49"/>
        <v>ok</v>
      </c>
      <c r="S155" t="str">
        <f t="shared" si="50"/>
        <v>ok</v>
      </c>
      <c r="T155" t="str">
        <f t="shared" si="51"/>
        <v>ok</v>
      </c>
      <c r="U155" s="99">
        <v>16.84</v>
      </c>
      <c r="V155" s="1822">
        <v>41.59</v>
      </c>
      <c r="W155" s="1822">
        <v>20.58</v>
      </c>
      <c r="X155" s="1822">
        <v>855.92</v>
      </c>
    </row>
    <row r="156" spans="1:24" ht="15.75" thickBot="1">
      <c r="A156" s="78"/>
      <c r="B156" s="1433"/>
      <c r="C156" s="1660"/>
      <c r="D156" s="1409"/>
      <c r="E156" s="1329"/>
      <c r="F156" s="1320"/>
      <c r="G156" s="1435"/>
      <c r="H156" s="1378"/>
      <c r="I156" s="1436" t="s">
        <v>15</v>
      </c>
      <c r="J156" s="79">
        <f>TRUNC(SUM(J145:J155),2)</f>
        <v>53690.96</v>
      </c>
      <c r="L156" s="53"/>
      <c r="Q156" t="str">
        <f t="shared" si="48"/>
        <v>ok</v>
      </c>
      <c r="R156" t="str">
        <f t="shared" si="49"/>
        <v>ok</v>
      </c>
      <c r="S156" t="str">
        <f t="shared" si="50"/>
        <v>ok</v>
      </c>
      <c r="T156" t="str">
        <f t="shared" si="51"/>
        <v>ok</v>
      </c>
      <c r="U156" s="99"/>
      <c r="W156" s="1825" t="s">
        <v>15</v>
      </c>
      <c r="X156" s="1822">
        <v>53881.66</v>
      </c>
    </row>
    <row r="157" spans="1:24">
      <c r="A157" s="356">
        <v>10</v>
      </c>
      <c r="B157" s="357"/>
      <c r="C157" s="358" t="s">
        <v>432</v>
      </c>
      <c r="D157" s="359"/>
      <c r="E157" s="1077"/>
      <c r="F157" s="1077"/>
      <c r="G157" s="646"/>
      <c r="H157" s="647"/>
      <c r="I157" s="647"/>
      <c r="J157" s="362"/>
      <c r="K157" s="273"/>
      <c r="L157" s="53"/>
      <c r="Q157" t="str">
        <f t="shared" si="48"/>
        <v>ok</v>
      </c>
      <c r="R157" t="str">
        <f t="shared" si="49"/>
        <v>ok</v>
      </c>
      <c r="S157" t="str">
        <f t="shared" si="50"/>
        <v>ok</v>
      </c>
      <c r="T157" t="str">
        <f t="shared" si="51"/>
        <v>ok</v>
      </c>
      <c r="U157" s="99"/>
      <c r="W157" s="1822"/>
      <c r="X157" s="1822"/>
    </row>
    <row r="158" spans="1:24">
      <c r="A158" s="1658" t="s">
        <v>76</v>
      </c>
      <c r="B158" s="1629"/>
      <c r="C158" s="1630" t="s">
        <v>327</v>
      </c>
      <c r="D158" s="1629"/>
      <c r="E158" s="1631"/>
      <c r="F158" s="1631"/>
      <c r="G158" s="1632" t="str">
        <f>IF(OR(E158&lt;=0)," ",TRUNC(H158,2))</f>
        <v xml:space="preserve"> </v>
      </c>
      <c r="H158" s="1628"/>
      <c r="I158" s="1628" t="str">
        <f>IF(OR(E158&lt;=0)," ",TRUNC((E158*(1+$J$11)),2))</f>
        <v xml:space="preserve"> </v>
      </c>
      <c r="J158" s="178"/>
      <c r="K158" s="437" t="s">
        <v>1364</v>
      </c>
      <c r="L158" s="53"/>
      <c r="Q158" t="str">
        <f t="shared" si="48"/>
        <v>ok</v>
      </c>
      <c r="R158" t="str">
        <f t="shared" si="49"/>
        <v>ok</v>
      </c>
      <c r="S158" t="str">
        <f t="shared" si="50"/>
        <v>ok</v>
      </c>
      <c r="T158" t="str">
        <f t="shared" si="51"/>
        <v>ok</v>
      </c>
      <c r="U158" s="99"/>
      <c r="V158" s="1822" t="s">
        <v>42</v>
      </c>
      <c r="W158" s="1822" t="s">
        <v>42</v>
      </c>
      <c r="X158" s="1822"/>
    </row>
    <row r="159" spans="1:24" ht="46.5" customHeight="1">
      <c r="A159" s="1647" t="s">
        <v>1232</v>
      </c>
      <c r="B159" s="1495" t="s">
        <v>1391</v>
      </c>
      <c r="C159" s="1311" t="s">
        <v>586</v>
      </c>
      <c r="D159" s="1304" t="s">
        <v>100</v>
      </c>
      <c r="E159" s="1314">
        <f>K159</f>
        <v>15.23</v>
      </c>
      <c r="F159" s="1320">
        <f>VLOOKUP(B159,'CADERNO DE COMPOSIÇÃO'!$A$8:$J$15448,10,FALSE)</f>
        <v>15.14</v>
      </c>
      <c r="G159" s="1372">
        <f>IF(OR(E159&lt;=0)," ",TRUNC(H159,2))</f>
        <v>2630.84</v>
      </c>
      <c r="H159" s="1381">
        <v>2630.84</v>
      </c>
      <c r="I159" s="1374">
        <f t="shared" ref="I159:I162" si="54">TRUNC(F159*(1+$J$11),2)</f>
        <v>18.5</v>
      </c>
      <c r="J159" s="77">
        <f t="shared" ref="J159:J162" si="55">TRUNC(I159*G159,2)</f>
        <v>48670.54</v>
      </c>
      <c r="K159" s="303">
        <f>'COMP ESTRUT'!F95</f>
        <v>15.23</v>
      </c>
      <c r="L159" s="199"/>
      <c r="Q159" t="str">
        <f t="shared" si="48"/>
        <v>ok</v>
      </c>
      <c r="R159" t="str">
        <f t="shared" si="49"/>
        <v>ok</v>
      </c>
      <c r="S159" t="str">
        <f t="shared" si="50"/>
        <v>ok</v>
      </c>
      <c r="T159" t="str">
        <f t="shared" si="51"/>
        <v>ok</v>
      </c>
      <c r="U159" s="99">
        <v>15.23</v>
      </c>
      <c r="V159" s="1822">
        <v>2630.84</v>
      </c>
      <c r="W159" s="1822">
        <v>18.61</v>
      </c>
      <c r="X159" s="1822">
        <v>48959.93</v>
      </c>
    </row>
    <row r="160" spans="1:24">
      <c r="A160" s="1647" t="s">
        <v>1426</v>
      </c>
      <c r="B160" s="1495" t="s">
        <v>1392</v>
      </c>
      <c r="C160" s="1311" t="s">
        <v>1388</v>
      </c>
      <c r="D160" s="1304" t="s">
        <v>100</v>
      </c>
      <c r="E160" s="1314">
        <f>K160</f>
        <v>3.2</v>
      </c>
      <c r="F160" s="1320">
        <f>VLOOKUP(B160,'CADERNO DE COMPOSIÇÃO'!$A$8:$J$15448,10,FALSE)</f>
        <v>3.19</v>
      </c>
      <c r="G160" s="1372">
        <f>IF(OR(E160&lt;=0)," ",TRUNC(H160,2))</f>
        <v>2630.84</v>
      </c>
      <c r="H160" s="1381">
        <v>2630.84</v>
      </c>
      <c r="I160" s="1374">
        <f t="shared" si="54"/>
        <v>3.89</v>
      </c>
      <c r="J160" s="77">
        <f t="shared" si="55"/>
        <v>10233.959999999999</v>
      </c>
      <c r="K160" s="333">
        <f>'COMP ESTRUT'!F106</f>
        <v>3.2</v>
      </c>
      <c r="L160" s="53"/>
      <c r="Q160" t="str">
        <f t="shared" si="48"/>
        <v>ok</v>
      </c>
      <c r="R160" t="str">
        <f t="shared" si="49"/>
        <v>ok</v>
      </c>
      <c r="S160" t="str">
        <f t="shared" si="50"/>
        <v>ok</v>
      </c>
      <c r="T160" t="str">
        <f t="shared" si="51"/>
        <v>ok</v>
      </c>
      <c r="U160" s="99">
        <v>3.2</v>
      </c>
      <c r="V160" s="1822">
        <v>2630.84</v>
      </c>
      <c r="W160" s="1822">
        <v>3.91</v>
      </c>
      <c r="X160" s="1822">
        <v>10286.58</v>
      </c>
    </row>
    <row r="161" spans="1:24" ht="30.75" customHeight="1">
      <c r="A161" s="1647" t="s">
        <v>1427</v>
      </c>
      <c r="B161" s="1495" t="s">
        <v>1398</v>
      </c>
      <c r="C161" s="1311" t="s">
        <v>1394</v>
      </c>
      <c r="D161" s="1380" t="s">
        <v>55</v>
      </c>
      <c r="E161" s="1314">
        <f>K161</f>
        <v>8.14</v>
      </c>
      <c r="F161" s="1320">
        <f>VLOOKUP(B161,'CADERNO DE COMPOSIÇÃO'!$A$8:$J$15448,10,FALSE)</f>
        <v>8.129999999999999</v>
      </c>
      <c r="G161" s="1372">
        <f>IF(OR(E161&lt;=0)," ",TRUNC(H161,2))</f>
        <v>200</v>
      </c>
      <c r="H161" s="1381">
        <v>200</v>
      </c>
      <c r="I161" s="1374">
        <f t="shared" si="54"/>
        <v>9.93</v>
      </c>
      <c r="J161" s="77">
        <f t="shared" si="55"/>
        <v>1986</v>
      </c>
      <c r="K161" s="333">
        <f>'COMP ESTRUT'!F117</f>
        <v>8.14</v>
      </c>
      <c r="L161" s="53"/>
      <c r="Q161" t="str">
        <f t="shared" si="48"/>
        <v>ok</v>
      </c>
      <c r="R161" t="str">
        <f t="shared" si="49"/>
        <v>ok</v>
      </c>
      <c r="S161" t="str">
        <f t="shared" si="50"/>
        <v>ok</v>
      </c>
      <c r="T161" t="str">
        <f t="shared" si="51"/>
        <v>ok</v>
      </c>
      <c r="U161" s="99">
        <v>8.14</v>
      </c>
      <c r="V161" s="1822">
        <v>200</v>
      </c>
      <c r="W161" s="1822">
        <v>9.94</v>
      </c>
      <c r="X161" s="1822">
        <v>1988</v>
      </c>
    </row>
    <row r="162" spans="1:24" ht="46.5" customHeight="1">
      <c r="A162" s="1400" t="s">
        <v>1428</v>
      </c>
      <c r="B162" s="1495">
        <v>100747</v>
      </c>
      <c r="C162" s="1311" t="s">
        <v>1721</v>
      </c>
      <c r="D162" s="1376" t="s">
        <v>46</v>
      </c>
      <c r="E162" s="1314">
        <v>10.39</v>
      </c>
      <c r="F162" s="1320">
        <f>VLOOKUP(B162,'CADERNO DE COMPOSIÇÃO'!$A$8:$J$15448,10,FALSE)</f>
        <v>10.34</v>
      </c>
      <c r="G162" s="1372">
        <f>IF(OR(E162&lt;=0)," ",TRUNC(H162,2))</f>
        <v>159.83000000000001</v>
      </c>
      <c r="H162" s="1381">
        <v>159.83000000000001</v>
      </c>
      <c r="I162" s="1374">
        <f t="shared" si="54"/>
        <v>12.63</v>
      </c>
      <c r="J162" s="77">
        <f t="shared" si="55"/>
        <v>2018.65</v>
      </c>
      <c r="K162" s="119"/>
      <c r="L162" s="53"/>
      <c r="Q162" t="str">
        <f t="shared" si="48"/>
        <v>ok</v>
      </c>
      <c r="R162" t="str">
        <f t="shared" si="49"/>
        <v>ok</v>
      </c>
      <c r="S162" t="str">
        <f t="shared" si="50"/>
        <v>ok</v>
      </c>
      <c r="T162" t="str">
        <f t="shared" si="51"/>
        <v>ok</v>
      </c>
      <c r="U162" s="99">
        <v>10.39</v>
      </c>
      <c r="V162" s="1822">
        <v>159.83000000000001</v>
      </c>
      <c r="W162" s="1822">
        <v>12.69</v>
      </c>
      <c r="X162" s="1822">
        <v>2028.24</v>
      </c>
    </row>
    <row r="163" spans="1:24" ht="14.25" customHeight="1">
      <c r="A163" s="1400"/>
      <c r="B163" s="1304"/>
      <c r="C163" s="1304"/>
      <c r="D163" s="1304"/>
      <c r="E163" s="1314"/>
      <c r="F163" s="1314"/>
      <c r="G163" s="1662"/>
      <c r="H163" s="1374"/>
      <c r="I163" s="1604" t="s">
        <v>15</v>
      </c>
      <c r="J163" s="1664">
        <f>TRUNC(SUM(J159:J162),2)</f>
        <v>62909.15</v>
      </c>
      <c r="K163" s="119"/>
      <c r="L163" s="53"/>
      <c r="Q163" t="str">
        <f t="shared" si="48"/>
        <v>ok</v>
      </c>
      <c r="R163" t="str">
        <f t="shared" si="49"/>
        <v>ok</v>
      </c>
      <c r="S163" t="str">
        <f t="shared" si="50"/>
        <v>ok</v>
      </c>
      <c r="T163" t="str">
        <f t="shared" si="51"/>
        <v>ok</v>
      </c>
      <c r="U163" s="99"/>
      <c r="W163" s="1825" t="s">
        <v>15</v>
      </c>
      <c r="X163" s="1822">
        <v>63262.75</v>
      </c>
    </row>
    <row r="164" spans="1:24">
      <c r="A164" s="1720" t="s">
        <v>77</v>
      </c>
      <c r="B164" s="1086"/>
      <c r="C164" s="1087" t="s">
        <v>1233</v>
      </c>
      <c r="D164" s="1086"/>
      <c r="E164" s="1088"/>
      <c r="F164" s="1088"/>
      <c r="G164" s="1089" t="str">
        <f>IF(OR(E164&lt;=0)," ",TRUNC(H164,2))</f>
        <v xml:space="preserve"> </v>
      </c>
      <c r="H164" s="1090"/>
      <c r="I164" s="1090" t="str">
        <f>IF(OR(E164&lt;=0)," ",TRUNC((E164*(1+$J$11)),2))</f>
        <v xml:space="preserve"> </v>
      </c>
      <c r="J164" s="1091" t="str">
        <f>IF(OR(E164&lt;=0)," ",TRUNC((I164*G164),2))</f>
        <v xml:space="preserve"> </v>
      </c>
      <c r="K164" s="283" t="s">
        <v>1362</v>
      </c>
      <c r="L164" s="53"/>
      <c r="Q164" t="str">
        <f t="shared" si="48"/>
        <v>ok</v>
      </c>
      <c r="R164" t="str">
        <f t="shared" si="49"/>
        <v>ok</v>
      </c>
      <c r="S164" t="str">
        <f t="shared" si="50"/>
        <v>ok</v>
      </c>
      <c r="T164" t="str">
        <f t="shared" si="51"/>
        <v>ok</v>
      </c>
      <c r="U164" s="99"/>
      <c r="V164" s="1822" t="s">
        <v>42</v>
      </c>
      <c r="W164" s="1822" t="s">
        <v>42</v>
      </c>
      <c r="X164" s="1822" t="s">
        <v>42</v>
      </c>
    </row>
    <row r="165" spans="1:24" ht="57">
      <c r="A165" s="1400" t="s">
        <v>1234</v>
      </c>
      <c r="B165" s="1304" t="s">
        <v>2029</v>
      </c>
      <c r="C165" s="1661" t="s">
        <v>159</v>
      </c>
      <c r="D165" s="1376" t="s">
        <v>46</v>
      </c>
      <c r="E165" s="1314">
        <f>K165</f>
        <v>169.78</v>
      </c>
      <c r="F165" s="1320">
        <f>VLOOKUP(B165,'CADERNO DE COMPOSIÇÃO'!$A$8:$J$15448,10,FALSE)</f>
        <v>168.92</v>
      </c>
      <c r="G165" s="1372">
        <f>IF(OR(E165&lt;=0)," ",TRUNC(H165,2))</f>
        <v>246.01</v>
      </c>
      <c r="H165" s="1381">
        <v>246.01</v>
      </c>
      <c r="I165" s="1374">
        <f>TRUNC(F165*(1+$J$11),2)</f>
        <v>206.47</v>
      </c>
      <c r="J165" s="77">
        <f>TRUNC(I165*G165,2)</f>
        <v>50793.68</v>
      </c>
      <c r="K165" s="331">
        <f>'COMP CIVIL'!F490</f>
        <v>169.78</v>
      </c>
      <c r="L165" s="53"/>
      <c r="Q165" t="str">
        <f t="shared" si="48"/>
        <v>ok</v>
      </c>
      <c r="R165" t="str">
        <f t="shared" si="49"/>
        <v>ok</v>
      </c>
      <c r="S165" t="str">
        <f t="shared" si="50"/>
        <v>ok</v>
      </c>
      <c r="T165" t="str">
        <f t="shared" si="51"/>
        <v>ok</v>
      </c>
      <c r="U165" s="99">
        <v>169.78</v>
      </c>
      <c r="V165" s="1822">
        <v>246.01</v>
      </c>
      <c r="W165" s="1822">
        <v>207.52</v>
      </c>
      <c r="X165" s="1822">
        <v>51051.99</v>
      </c>
    </row>
    <row r="166" spans="1:24" ht="15.75" thickBot="1">
      <c r="A166" s="1651"/>
      <c r="B166" s="1304"/>
      <c r="C166" s="1304"/>
      <c r="D166" s="1304"/>
      <c r="E166" s="1314"/>
      <c r="F166" s="1320"/>
      <c r="G166" s="1662"/>
      <c r="H166" s="1374"/>
      <c r="I166" s="1663" t="s">
        <v>15</v>
      </c>
      <c r="J166" s="1664">
        <f>TRUNC(SUM(J165:J165),2)</f>
        <v>50793.68</v>
      </c>
      <c r="L166" s="53"/>
      <c r="Q166" t="str">
        <f t="shared" si="48"/>
        <v>ok</v>
      </c>
      <c r="R166" t="str">
        <f t="shared" si="49"/>
        <v>ok</v>
      </c>
      <c r="S166" t="str">
        <f t="shared" si="50"/>
        <v>ok</v>
      </c>
      <c r="T166" t="str">
        <f t="shared" si="51"/>
        <v>ok</v>
      </c>
      <c r="U166" s="99"/>
      <c r="W166" s="1825" t="s">
        <v>15</v>
      </c>
      <c r="X166" s="1822">
        <v>51051.99</v>
      </c>
    </row>
    <row r="167" spans="1:24">
      <c r="A167" s="356">
        <v>11</v>
      </c>
      <c r="B167" s="357"/>
      <c r="C167" s="358" t="s">
        <v>75</v>
      </c>
      <c r="D167" s="359"/>
      <c r="E167" s="1077"/>
      <c r="F167" s="1077"/>
      <c r="G167" s="646" t="str">
        <f t="shared" ref="G167:G198" si="56">IF(OR(E167&lt;=0)," ",TRUNC(H167,2))</f>
        <v xml:space="preserve"> </v>
      </c>
      <c r="H167" s="647"/>
      <c r="I167" s="647" t="str">
        <f>IF(OR(E167&lt;=0)," ",TRUNC((E167*(1+$J$11)),2))</f>
        <v xml:space="preserve"> </v>
      </c>
      <c r="J167" s="362" t="str">
        <f>IF(OR(E167&lt;=0)," ",TRUNC((I167*G167),2))</f>
        <v xml:space="preserve"> </v>
      </c>
      <c r="K167" s="273" t="s">
        <v>1365</v>
      </c>
      <c r="L167" s="53"/>
      <c r="Q167" t="str">
        <f t="shared" si="48"/>
        <v>ok</v>
      </c>
      <c r="R167" t="str">
        <f t="shared" si="49"/>
        <v>ok</v>
      </c>
      <c r="S167" t="str">
        <f t="shared" si="50"/>
        <v>ok</v>
      </c>
      <c r="T167" t="str">
        <f t="shared" si="51"/>
        <v>ok</v>
      </c>
      <c r="U167" s="99"/>
      <c r="V167" t="s">
        <v>42</v>
      </c>
      <c r="W167" s="1822" t="s">
        <v>42</v>
      </c>
      <c r="X167" s="1822" t="s">
        <v>42</v>
      </c>
    </row>
    <row r="168" spans="1:24" ht="15.75" customHeight="1" thickBot="1">
      <c r="A168" s="1104" t="s">
        <v>81</v>
      </c>
      <c r="B168" s="1665"/>
      <c r="C168" s="1666" t="s">
        <v>1251</v>
      </c>
      <c r="D168" s="1665"/>
      <c r="E168" s="1667"/>
      <c r="F168" s="1667"/>
      <c r="G168" s="1668" t="str">
        <f t="shared" si="56"/>
        <v xml:space="preserve"> </v>
      </c>
      <c r="H168" s="1669"/>
      <c r="I168" s="1669" t="str">
        <f>IF(OR(E168&lt;=0)," ",TRUNC((E168*(1+$J$11)),2))</f>
        <v xml:space="preserve"> </v>
      </c>
      <c r="J168" s="1081" t="str">
        <f>IF(OR(E168&lt;=0)," ",TRUNC((I168*G168),2))</f>
        <v xml:space="preserve"> </v>
      </c>
      <c r="K168" s="516"/>
      <c r="L168" s="110"/>
      <c r="Q168" t="str">
        <f t="shared" si="48"/>
        <v>ok</v>
      </c>
      <c r="R168" t="str">
        <f t="shared" si="49"/>
        <v>ok</v>
      </c>
      <c r="S168" t="str">
        <f t="shared" si="50"/>
        <v>ok</v>
      </c>
      <c r="T168" t="str">
        <f t="shared" si="51"/>
        <v>ok</v>
      </c>
      <c r="U168" s="99"/>
      <c r="V168" s="1822" t="s">
        <v>42</v>
      </c>
      <c r="W168" s="1822" t="s">
        <v>42</v>
      </c>
      <c r="X168" s="1822" t="s">
        <v>42</v>
      </c>
    </row>
    <row r="169" spans="1:24" ht="45.75" customHeight="1">
      <c r="A169" s="1082" t="s">
        <v>1252</v>
      </c>
      <c r="B169" s="1318">
        <v>101880</v>
      </c>
      <c r="C169" s="1328" t="s">
        <v>1582</v>
      </c>
      <c r="D169" s="80" t="s">
        <v>55</v>
      </c>
      <c r="E169" s="1320">
        <v>835.25</v>
      </c>
      <c r="F169" s="1320">
        <f>VLOOKUP(B169,'CADERNO DE COMPOSIÇÃO'!$A$8:$J$15448,10,FALSE)</f>
        <v>831.13999999999987</v>
      </c>
      <c r="G169" s="1372">
        <f t="shared" si="56"/>
        <v>1</v>
      </c>
      <c r="H169" s="1387">
        <v>1</v>
      </c>
      <c r="I169" s="1083">
        <f t="shared" ref="I169:I218" si="57">TRUNC(F169*(1+$J$11),2)</f>
        <v>1015.9</v>
      </c>
      <c r="J169" s="1084">
        <f t="shared" ref="J169:J218" si="58">TRUNC(I169*G169,2)</f>
        <v>1015.9</v>
      </c>
      <c r="K169" s="331"/>
      <c r="L169" s="53"/>
      <c r="Q169" t="str">
        <f t="shared" si="48"/>
        <v>ok</v>
      </c>
      <c r="R169" t="str">
        <f t="shared" si="49"/>
        <v>ok</v>
      </c>
      <c r="S169" t="str">
        <f t="shared" si="50"/>
        <v>ok</v>
      </c>
      <c r="T169" t="str">
        <f t="shared" si="51"/>
        <v>ok</v>
      </c>
      <c r="U169" s="1821">
        <v>835.25</v>
      </c>
      <c r="V169" s="1822">
        <v>1</v>
      </c>
      <c r="W169" s="1822">
        <v>1020.92</v>
      </c>
      <c r="X169" s="1822">
        <v>1020.92</v>
      </c>
    </row>
    <row r="170" spans="1:24" ht="32.25" customHeight="1">
      <c r="A170" s="1651" t="s">
        <v>1253</v>
      </c>
      <c r="B170" s="1497" t="s">
        <v>1583</v>
      </c>
      <c r="C170" s="1328" t="s">
        <v>516</v>
      </c>
      <c r="D170" s="80" t="s">
        <v>55</v>
      </c>
      <c r="E170" s="1320">
        <f>K170</f>
        <v>537.14</v>
      </c>
      <c r="F170" s="1320">
        <f>VLOOKUP(B170,'CADERNO DE COMPOSIÇÃO'!$A$8:$J$15448,10,FALSE)</f>
        <v>535.33999999999992</v>
      </c>
      <c r="G170" s="1372">
        <f t="shared" si="56"/>
        <v>1</v>
      </c>
      <c r="H170" s="1387">
        <v>1</v>
      </c>
      <c r="I170" s="1374">
        <f t="shared" si="57"/>
        <v>654.34</v>
      </c>
      <c r="J170" s="77">
        <f t="shared" si="58"/>
        <v>654.34</v>
      </c>
      <c r="K170" s="332">
        <f>'COMP ELE'!F308</f>
        <v>537.14</v>
      </c>
      <c r="L170" s="290" t="s">
        <v>1569</v>
      </c>
      <c r="Q170" t="str">
        <f t="shared" si="48"/>
        <v>ok</v>
      </c>
      <c r="R170" t="str">
        <f t="shared" si="49"/>
        <v>ok</v>
      </c>
      <c r="S170" t="str">
        <f t="shared" si="50"/>
        <v>ok</v>
      </c>
      <c r="T170" t="str">
        <f t="shared" si="51"/>
        <v>ok</v>
      </c>
      <c r="U170" s="1821">
        <v>537.14</v>
      </c>
      <c r="V170" s="1822">
        <v>1</v>
      </c>
      <c r="W170" s="1822">
        <v>656.54</v>
      </c>
      <c r="X170" s="1822">
        <v>656.54</v>
      </c>
    </row>
    <row r="171" spans="1:24" ht="36" customHeight="1">
      <c r="A171" s="1651" t="s">
        <v>1254</v>
      </c>
      <c r="B171" s="1318">
        <v>91935</v>
      </c>
      <c r="C171" s="1328" t="s">
        <v>121</v>
      </c>
      <c r="D171" s="1670" t="s">
        <v>54</v>
      </c>
      <c r="E171" s="1320">
        <v>23.04</v>
      </c>
      <c r="F171" s="1320">
        <f>VLOOKUP(B171,'CADERNO DE COMPOSIÇÃO'!$A$8:$J$15448,10,FALSE)</f>
        <v>22.94</v>
      </c>
      <c r="G171" s="1372">
        <f t="shared" si="56"/>
        <v>19.5</v>
      </c>
      <c r="H171" s="1387">
        <v>19.5</v>
      </c>
      <c r="I171" s="1374">
        <f t="shared" si="57"/>
        <v>28.03</v>
      </c>
      <c r="J171" s="77">
        <f t="shared" si="58"/>
        <v>546.58000000000004</v>
      </c>
      <c r="K171" s="331"/>
      <c r="L171" s="488" t="s">
        <v>239</v>
      </c>
      <c r="Q171" t="str">
        <f t="shared" si="48"/>
        <v>ok</v>
      </c>
      <c r="R171" t="str">
        <f t="shared" si="49"/>
        <v>ok</v>
      </c>
      <c r="S171" t="str">
        <f t="shared" si="50"/>
        <v>ok</v>
      </c>
      <c r="T171" t="str">
        <f t="shared" si="51"/>
        <v>ok</v>
      </c>
      <c r="U171" s="1821">
        <v>23.04</v>
      </c>
      <c r="V171" s="1822">
        <v>19.5</v>
      </c>
      <c r="W171" s="1822">
        <v>28.16</v>
      </c>
      <c r="X171" s="1822">
        <v>549.12</v>
      </c>
    </row>
    <row r="172" spans="1:24" ht="42" customHeight="1">
      <c r="A172" s="1092" t="s">
        <v>1255</v>
      </c>
      <c r="B172" s="1318">
        <v>92984</v>
      </c>
      <c r="C172" s="1328" t="s">
        <v>2210</v>
      </c>
      <c r="D172" s="1670" t="s">
        <v>54</v>
      </c>
      <c r="E172" s="1320">
        <v>26.22</v>
      </c>
      <c r="F172" s="1320">
        <f>VLOOKUP(B172,'CADERNO DE COMPOSIÇÃO'!$A$8:$J$15448,10,FALSE)</f>
        <v>26.1</v>
      </c>
      <c r="G172" s="1372">
        <f t="shared" si="56"/>
        <v>78</v>
      </c>
      <c r="H172" s="1601">
        <v>78</v>
      </c>
      <c r="I172" s="1374">
        <f t="shared" si="57"/>
        <v>31.9</v>
      </c>
      <c r="J172" s="77">
        <f t="shared" si="58"/>
        <v>2488.1999999999998</v>
      </c>
      <c r="K172" s="331"/>
      <c r="L172" s="488" t="s">
        <v>239</v>
      </c>
      <c r="Q172" t="str">
        <f t="shared" si="48"/>
        <v>ok</v>
      </c>
      <c r="R172" t="str">
        <f t="shared" si="49"/>
        <v>ok</v>
      </c>
      <c r="S172" t="str">
        <f t="shared" si="50"/>
        <v>ok</v>
      </c>
      <c r="T172" t="str">
        <f t="shared" si="51"/>
        <v>ok</v>
      </c>
      <c r="U172" s="1821">
        <v>26.22</v>
      </c>
      <c r="V172" s="1822">
        <v>78</v>
      </c>
      <c r="W172" s="1822">
        <v>32.04</v>
      </c>
      <c r="X172" s="1822">
        <v>2499.12</v>
      </c>
    </row>
    <row r="173" spans="1:24" ht="33.75" customHeight="1">
      <c r="A173" s="1651" t="s">
        <v>1256</v>
      </c>
      <c r="B173" s="1318">
        <v>91926</v>
      </c>
      <c r="C173" s="1328" t="s">
        <v>2211</v>
      </c>
      <c r="D173" s="1670" t="s">
        <v>54</v>
      </c>
      <c r="E173" s="1320">
        <v>3.97</v>
      </c>
      <c r="F173" s="1320">
        <f>VLOOKUP(B173,'CADERNO DE COMPOSIÇÃO'!$A$8:$J$15448,10,FALSE)</f>
        <v>3.9499999999999993</v>
      </c>
      <c r="G173" s="1372">
        <f t="shared" si="56"/>
        <v>1144.0999999999999</v>
      </c>
      <c r="H173" s="1387">
        <v>1144.0999999999999</v>
      </c>
      <c r="I173" s="1374">
        <f t="shared" si="57"/>
        <v>4.82</v>
      </c>
      <c r="J173" s="77">
        <f t="shared" si="58"/>
        <v>5514.56</v>
      </c>
      <c r="K173" s="331"/>
      <c r="L173" s="488" t="s">
        <v>240</v>
      </c>
      <c r="Q173" t="str">
        <f t="shared" si="48"/>
        <v>ok</v>
      </c>
      <c r="R173" t="str">
        <f t="shared" si="49"/>
        <v>ok</v>
      </c>
      <c r="S173" t="str">
        <f t="shared" si="50"/>
        <v>ok</v>
      </c>
      <c r="T173" t="str">
        <f t="shared" si="51"/>
        <v>ok</v>
      </c>
      <c r="U173" s="1821">
        <v>3.97</v>
      </c>
      <c r="V173" s="1822">
        <v>1144.0999999999999</v>
      </c>
      <c r="W173" s="1822">
        <v>4.8499999999999996</v>
      </c>
      <c r="X173" s="1822">
        <v>5548.88</v>
      </c>
    </row>
    <row r="174" spans="1:24" ht="33" customHeight="1">
      <c r="A174" s="1651" t="s">
        <v>1257</v>
      </c>
      <c r="B174" s="1318">
        <v>91928</v>
      </c>
      <c r="C174" s="1328" t="s">
        <v>241</v>
      </c>
      <c r="D174" s="1670" t="s">
        <v>54</v>
      </c>
      <c r="E174" s="1320">
        <v>6.12</v>
      </c>
      <c r="F174" s="1320">
        <f>VLOOKUP(B174,'CADERNO DE COMPOSIÇÃO'!$A$8:$J$15448,10,FALSE)</f>
        <v>6.1</v>
      </c>
      <c r="G174" s="1372">
        <f t="shared" si="56"/>
        <v>212.6</v>
      </c>
      <c r="H174" s="1387">
        <v>212.6</v>
      </c>
      <c r="I174" s="1374">
        <f t="shared" si="57"/>
        <v>7.45</v>
      </c>
      <c r="J174" s="77">
        <f t="shared" si="58"/>
        <v>1583.87</v>
      </c>
      <c r="K174" s="331"/>
      <c r="L174" s="488" t="s">
        <v>240</v>
      </c>
      <c r="Q174" t="str">
        <f t="shared" si="48"/>
        <v>ok</v>
      </c>
      <c r="R174" t="str">
        <f t="shared" si="49"/>
        <v>ok</v>
      </c>
      <c r="S174" t="str">
        <f t="shared" si="50"/>
        <v>ok</v>
      </c>
      <c r="T174" t="str">
        <f t="shared" si="51"/>
        <v>ok</v>
      </c>
      <c r="U174" s="1821">
        <v>6.12</v>
      </c>
      <c r="V174" s="1822">
        <v>212.6</v>
      </c>
      <c r="W174" s="1822">
        <v>7.48</v>
      </c>
      <c r="X174" s="1822">
        <v>1590.24</v>
      </c>
    </row>
    <row r="175" spans="1:24" ht="36.75" customHeight="1">
      <c r="A175" s="1651" t="s">
        <v>1258</v>
      </c>
      <c r="B175" s="1318">
        <v>91924</v>
      </c>
      <c r="C175" s="1328" t="s">
        <v>1566</v>
      </c>
      <c r="D175" s="1670" t="s">
        <v>54</v>
      </c>
      <c r="E175" s="1320">
        <v>2.74</v>
      </c>
      <c r="F175" s="1320">
        <f>VLOOKUP(B175,'CADERNO DE COMPOSIÇÃO'!$A$8:$J$15448,10,FALSE)</f>
        <v>2.73</v>
      </c>
      <c r="G175" s="1372">
        <f t="shared" si="56"/>
        <v>390.3</v>
      </c>
      <c r="H175" s="1387">
        <v>390.3</v>
      </c>
      <c r="I175" s="1374">
        <f t="shared" si="57"/>
        <v>3.33</v>
      </c>
      <c r="J175" s="77">
        <f t="shared" si="58"/>
        <v>1299.69</v>
      </c>
      <c r="K175" s="331"/>
      <c r="L175" s="488" t="s">
        <v>240</v>
      </c>
      <c r="Q175" t="str">
        <f t="shared" si="48"/>
        <v>ok</v>
      </c>
      <c r="R175" t="str">
        <f t="shared" si="49"/>
        <v>ok</v>
      </c>
      <c r="S175" t="str">
        <f t="shared" si="50"/>
        <v>ok</v>
      </c>
      <c r="T175" t="str">
        <f t="shared" si="51"/>
        <v>ok</v>
      </c>
      <c r="U175" s="1821">
        <v>2.74</v>
      </c>
      <c r="V175" s="1822">
        <v>390.3</v>
      </c>
      <c r="W175" s="1822">
        <v>3.34</v>
      </c>
      <c r="X175" s="1822">
        <v>1303.5999999999999</v>
      </c>
    </row>
    <row r="176" spans="1:24" ht="24" customHeight="1">
      <c r="A176" s="1651" t="s">
        <v>1259</v>
      </c>
      <c r="B176" s="1593" t="s">
        <v>2161</v>
      </c>
      <c r="C176" s="1328" t="s">
        <v>2158</v>
      </c>
      <c r="D176" s="1390" t="s">
        <v>55</v>
      </c>
      <c r="E176" s="1320">
        <f>K176</f>
        <v>26.95</v>
      </c>
      <c r="F176" s="1320">
        <f>VLOOKUP(B176,'CADERNO DE COMPOSIÇÃO'!$A$8:$J$15448,10,FALSE)</f>
        <v>26.869999999999997</v>
      </c>
      <c r="G176" s="1372">
        <f t="shared" si="56"/>
        <v>23</v>
      </c>
      <c r="H176" s="1387">
        <v>23</v>
      </c>
      <c r="I176" s="1374">
        <f t="shared" si="57"/>
        <v>32.840000000000003</v>
      </c>
      <c r="J176" s="77">
        <f t="shared" si="58"/>
        <v>755.32</v>
      </c>
      <c r="K176" s="331">
        <f>'COMP ELE'!F535</f>
        <v>26.95</v>
      </c>
      <c r="L176" s="373"/>
      <c r="Q176" t="str">
        <f t="shared" si="48"/>
        <v>ok</v>
      </c>
      <c r="R176" t="str">
        <f t="shared" si="49"/>
        <v>ok</v>
      </c>
      <c r="S176" t="str">
        <f t="shared" si="50"/>
        <v>ok</v>
      </c>
      <c r="T176" t="str">
        <f t="shared" si="51"/>
        <v>ok</v>
      </c>
      <c r="U176" s="1821">
        <v>26.95</v>
      </c>
      <c r="V176" s="1822">
        <v>23</v>
      </c>
      <c r="W176" s="1822">
        <v>32.94</v>
      </c>
      <c r="X176" s="1822">
        <v>757.62</v>
      </c>
    </row>
    <row r="177" spans="1:24" ht="22.5" customHeight="1">
      <c r="A177" s="1651" t="s">
        <v>1260</v>
      </c>
      <c r="B177" s="1594" t="s">
        <v>2208</v>
      </c>
      <c r="C177" s="1328" t="s">
        <v>2166</v>
      </c>
      <c r="D177" s="1390" t="s">
        <v>55</v>
      </c>
      <c r="E177" s="1320">
        <f>K177</f>
        <v>33.44</v>
      </c>
      <c r="F177" s="1320">
        <f>VLOOKUP(B177,'CADERNO DE COMPOSIÇÃO'!$A$8:$J$15448,10,FALSE)</f>
        <v>33.330000000000005</v>
      </c>
      <c r="G177" s="1372">
        <f t="shared" si="56"/>
        <v>1</v>
      </c>
      <c r="H177" s="1387">
        <v>1</v>
      </c>
      <c r="I177" s="1374">
        <f t="shared" si="57"/>
        <v>40.729999999999997</v>
      </c>
      <c r="J177" s="77">
        <f t="shared" si="58"/>
        <v>40.729999999999997</v>
      </c>
      <c r="K177" s="331">
        <f>'COMP ELE'!F583</f>
        <v>33.44</v>
      </c>
      <c r="L177" s="373"/>
      <c r="Q177" t="str">
        <f t="shared" si="48"/>
        <v>ok</v>
      </c>
      <c r="R177" t="str">
        <f t="shared" si="49"/>
        <v>ok</v>
      </c>
      <c r="S177" t="str">
        <f t="shared" si="50"/>
        <v>ok</v>
      </c>
      <c r="T177" t="str">
        <f t="shared" si="51"/>
        <v>ok</v>
      </c>
      <c r="U177" s="1821">
        <v>33.44</v>
      </c>
      <c r="V177" s="1822">
        <v>1</v>
      </c>
      <c r="W177" s="1822">
        <v>40.869999999999997</v>
      </c>
      <c r="X177" s="1822">
        <v>40.869999999999997</v>
      </c>
    </row>
    <row r="178" spans="1:24" ht="19.5" customHeight="1">
      <c r="A178" s="1651" t="s">
        <v>1261</v>
      </c>
      <c r="B178" s="1594" t="s">
        <v>2165</v>
      </c>
      <c r="C178" s="1328" t="s">
        <v>2162</v>
      </c>
      <c r="D178" s="1390" t="s">
        <v>55</v>
      </c>
      <c r="E178" s="1320">
        <f>K178</f>
        <v>26.95</v>
      </c>
      <c r="F178" s="1320">
        <f>VLOOKUP(B178,'CADERNO DE COMPOSIÇÃO'!$A$8:$J$15448,10,FALSE)</f>
        <v>26.869999999999997</v>
      </c>
      <c r="G178" s="1372">
        <f t="shared" si="56"/>
        <v>2</v>
      </c>
      <c r="H178" s="1387">
        <v>2</v>
      </c>
      <c r="I178" s="1374">
        <f t="shared" si="57"/>
        <v>32.840000000000003</v>
      </c>
      <c r="J178" s="77">
        <f t="shared" si="58"/>
        <v>65.680000000000007</v>
      </c>
      <c r="K178" s="331">
        <f>'COMP ELE'!F559</f>
        <v>26.95</v>
      </c>
      <c r="L178" s="373"/>
      <c r="Q178" t="str">
        <f t="shared" si="48"/>
        <v>ok</v>
      </c>
      <c r="R178" t="str">
        <f t="shared" si="49"/>
        <v>ok</v>
      </c>
      <c r="S178" t="str">
        <f t="shared" si="50"/>
        <v>ok</v>
      </c>
      <c r="T178" t="str">
        <f t="shared" si="51"/>
        <v>ok</v>
      </c>
      <c r="U178" s="1821">
        <v>26.95</v>
      </c>
      <c r="V178" s="1822">
        <v>2</v>
      </c>
      <c r="W178" s="1822">
        <v>32.94</v>
      </c>
      <c r="X178" s="1822">
        <v>65.88</v>
      </c>
    </row>
    <row r="179" spans="1:24" ht="24" customHeight="1">
      <c r="A179" s="1651" t="s">
        <v>1262</v>
      </c>
      <c r="B179" s="1594" t="s">
        <v>2207</v>
      </c>
      <c r="C179" s="1328" t="s">
        <v>2164</v>
      </c>
      <c r="D179" s="1390" t="s">
        <v>55</v>
      </c>
      <c r="E179" s="1320">
        <f>K179</f>
        <v>29.56</v>
      </c>
      <c r="F179" s="1320">
        <f>VLOOKUP(B179,'CADERNO DE COMPOSIÇÃO'!$A$8:$J$15448,10,FALSE)</f>
        <v>29.47</v>
      </c>
      <c r="G179" s="1372">
        <f t="shared" si="56"/>
        <v>1</v>
      </c>
      <c r="H179" s="1387">
        <v>1</v>
      </c>
      <c r="I179" s="1374">
        <f t="shared" si="57"/>
        <v>36.020000000000003</v>
      </c>
      <c r="J179" s="77">
        <f t="shared" si="58"/>
        <v>36.020000000000003</v>
      </c>
      <c r="K179" s="331">
        <f>'COMP ELE'!F571</f>
        <v>29.56</v>
      </c>
      <c r="L179" s="373"/>
      <c r="Q179" t="str">
        <f t="shared" si="48"/>
        <v>ok</v>
      </c>
      <c r="R179" t="str">
        <f t="shared" si="49"/>
        <v>ok</v>
      </c>
      <c r="S179" t="str">
        <f t="shared" si="50"/>
        <v>ok</v>
      </c>
      <c r="T179" t="str">
        <f t="shared" si="51"/>
        <v>ok</v>
      </c>
      <c r="U179" s="1821">
        <v>29.56</v>
      </c>
      <c r="V179" s="1822">
        <v>1</v>
      </c>
      <c r="W179" s="1822">
        <v>36.130000000000003</v>
      </c>
      <c r="X179" s="1822">
        <v>36.130000000000003</v>
      </c>
    </row>
    <row r="180" spans="1:24" ht="21" customHeight="1">
      <c r="A180" s="1651" t="s">
        <v>1263</v>
      </c>
      <c r="B180" s="1594" t="s">
        <v>2163</v>
      </c>
      <c r="C180" s="1328" t="s">
        <v>2160</v>
      </c>
      <c r="D180" s="1390" t="s">
        <v>55</v>
      </c>
      <c r="E180" s="1320">
        <f>K180</f>
        <v>28.229999999999997</v>
      </c>
      <c r="F180" s="1320">
        <f>VLOOKUP(B180,'CADERNO DE COMPOSIÇÃO'!$A$8:$J$15448,10,FALSE)</f>
        <v>28.15</v>
      </c>
      <c r="G180" s="1372">
        <f t="shared" si="56"/>
        <v>1</v>
      </c>
      <c r="H180" s="1387">
        <v>1</v>
      </c>
      <c r="I180" s="1374">
        <f t="shared" si="57"/>
        <v>34.4</v>
      </c>
      <c r="J180" s="77">
        <f t="shared" si="58"/>
        <v>34.4</v>
      </c>
      <c r="K180" s="331">
        <f>'COMP ELE'!F547</f>
        <v>28.229999999999997</v>
      </c>
      <c r="L180" s="373"/>
      <c r="Q180" t="str">
        <f t="shared" si="48"/>
        <v>ok</v>
      </c>
      <c r="R180" t="str">
        <f t="shared" si="49"/>
        <v>ok</v>
      </c>
      <c r="S180" t="str">
        <f t="shared" si="50"/>
        <v>ok</v>
      </c>
      <c r="T180" t="str">
        <f t="shared" si="51"/>
        <v>ok</v>
      </c>
      <c r="U180" s="1821">
        <v>28.229999999999997</v>
      </c>
      <c r="V180" s="1822">
        <v>1</v>
      </c>
      <c r="W180" s="1822">
        <v>34.5</v>
      </c>
      <c r="X180" s="1822">
        <v>34.5</v>
      </c>
    </row>
    <row r="181" spans="1:24" ht="42.75" customHeight="1">
      <c r="A181" s="1651" t="s">
        <v>1264</v>
      </c>
      <c r="B181" s="1327">
        <v>91879</v>
      </c>
      <c r="C181" s="1328" t="s">
        <v>2212</v>
      </c>
      <c r="D181" s="1390" t="s">
        <v>55</v>
      </c>
      <c r="E181" s="1320">
        <v>7.51</v>
      </c>
      <c r="F181" s="1320">
        <f>VLOOKUP(B181,'CADERNO DE COMPOSIÇÃO'!$A$8:$J$15448,10,FALSE)</f>
        <v>7.5</v>
      </c>
      <c r="G181" s="1372">
        <f t="shared" si="56"/>
        <v>4</v>
      </c>
      <c r="H181" s="1387">
        <v>4</v>
      </c>
      <c r="I181" s="1374">
        <f t="shared" si="57"/>
        <v>9.16</v>
      </c>
      <c r="J181" s="77">
        <f t="shared" si="58"/>
        <v>36.64</v>
      </c>
      <c r="K181" s="332"/>
      <c r="L181" s="307"/>
      <c r="Q181" t="str">
        <f t="shared" si="48"/>
        <v>ok</v>
      </c>
      <c r="R181" t="str">
        <f t="shared" si="49"/>
        <v>ok</v>
      </c>
      <c r="S181" t="str">
        <f t="shared" si="50"/>
        <v>ok</v>
      </c>
      <c r="T181" t="str">
        <f t="shared" si="51"/>
        <v>ok</v>
      </c>
      <c r="U181" s="1821">
        <v>7.51</v>
      </c>
      <c r="V181" s="1822">
        <v>4</v>
      </c>
      <c r="W181" s="1822">
        <v>9.17</v>
      </c>
      <c r="X181" s="1822">
        <v>36.68</v>
      </c>
    </row>
    <row r="182" spans="1:24" ht="18" customHeight="1">
      <c r="A182" s="1651" t="s">
        <v>1265</v>
      </c>
      <c r="B182" s="1497" t="s">
        <v>1585</v>
      </c>
      <c r="C182" s="1328" t="s">
        <v>522</v>
      </c>
      <c r="D182" s="1390" t="s">
        <v>55</v>
      </c>
      <c r="E182" s="1320">
        <f>K182</f>
        <v>349.07</v>
      </c>
      <c r="F182" s="1320">
        <f>VLOOKUP(B182,'CADERNO DE COMPOSIÇÃO'!$A$8:$J$15448,10,FALSE)</f>
        <v>347.43</v>
      </c>
      <c r="G182" s="1372">
        <f t="shared" si="56"/>
        <v>1</v>
      </c>
      <c r="H182" s="1601">
        <v>1</v>
      </c>
      <c r="I182" s="1374">
        <f t="shared" si="57"/>
        <v>424.66</v>
      </c>
      <c r="J182" s="77">
        <f t="shared" si="58"/>
        <v>424.66</v>
      </c>
      <c r="K182" s="332">
        <f>'COMP ELE'!F319</f>
        <v>349.07</v>
      </c>
      <c r="L182" s="53"/>
      <c r="Q182" t="str">
        <f t="shared" si="48"/>
        <v>ok</v>
      </c>
      <c r="R182" t="str">
        <f t="shared" si="49"/>
        <v>ok</v>
      </c>
      <c r="S182" t="str">
        <f t="shared" si="50"/>
        <v>ok</v>
      </c>
      <c r="T182" t="str">
        <f t="shared" si="51"/>
        <v>ok</v>
      </c>
      <c r="U182" s="1821">
        <v>349.07</v>
      </c>
      <c r="V182" s="1822">
        <v>1</v>
      </c>
      <c r="W182" s="1822">
        <v>426.66</v>
      </c>
      <c r="X182" s="1822">
        <v>426.66</v>
      </c>
    </row>
    <row r="183" spans="1:24" ht="31.5" customHeight="1">
      <c r="A183" s="1651" t="s">
        <v>1266</v>
      </c>
      <c r="B183" s="1318">
        <v>91953</v>
      </c>
      <c r="C183" s="1328" t="s">
        <v>122</v>
      </c>
      <c r="D183" s="1390" t="s">
        <v>55</v>
      </c>
      <c r="E183" s="1320">
        <v>23.94</v>
      </c>
      <c r="F183" s="1320">
        <f>VLOOKUP(B183,'CADERNO DE COMPOSIÇÃO'!$A$8:$J$15448,10,FALSE)</f>
        <v>23.81</v>
      </c>
      <c r="G183" s="1372">
        <f t="shared" si="56"/>
        <v>17</v>
      </c>
      <c r="H183" s="1601">
        <v>17</v>
      </c>
      <c r="I183" s="1374">
        <f t="shared" si="57"/>
        <v>29.1</v>
      </c>
      <c r="J183" s="77">
        <f t="shared" si="58"/>
        <v>494.7</v>
      </c>
      <c r="K183" s="1217"/>
      <c r="L183" s="390" t="s">
        <v>1588</v>
      </c>
      <c r="Q183" t="str">
        <f t="shared" si="48"/>
        <v>ok</v>
      </c>
      <c r="R183" t="str">
        <f t="shared" si="49"/>
        <v>ok</v>
      </c>
      <c r="S183" t="str">
        <f t="shared" si="50"/>
        <v>ok</v>
      </c>
      <c r="T183" t="str">
        <f t="shared" si="51"/>
        <v>ok</v>
      </c>
      <c r="U183" s="1821">
        <v>23.94</v>
      </c>
      <c r="V183" s="1822">
        <v>17</v>
      </c>
      <c r="W183" s="1822">
        <v>29.26</v>
      </c>
      <c r="X183" s="1822">
        <v>497.42</v>
      </c>
    </row>
    <row r="184" spans="1:24" ht="33" customHeight="1">
      <c r="A184" s="1651" t="s">
        <v>1267</v>
      </c>
      <c r="B184" s="1318">
        <v>91959</v>
      </c>
      <c r="C184" s="1328" t="s">
        <v>174</v>
      </c>
      <c r="D184" s="1390" t="s">
        <v>55</v>
      </c>
      <c r="E184" s="1320">
        <v>37.909999999999997</v>
      </c>
      <c r="F184" s="1320">
        <f>VLOOKUP(B184,'CADERNO DE COMPOSIÇÃO'!$A$8:$J$15448,10,FALSE)</f>
        <v>37.71</v>
      </c>
      <c r="G184" s="1372">
        <f t="shared" si="56"/>
        <v>1</v>
      </c>
      <c r="H184" s="1601">
        <v>1</v>
      </c>
      <c r="I184" s="1374">
        <f t="shared" si="57"/>
        <v>46.09</v>
      </c>
      <c r="J184" s="77">
        <f t="shared" si="58"/>
        <v>46.09</v>
      </c>
      <c r="K184" s="1217"/>
      <c r="L184" s="53"/>
      <c r="Q184" t="str">
        <f t="shared" si="48"/>
        <v>ok</v>
      </c>
      <c r="R184" t="str">
        <f t="shared" si="49"/>
        <v>ok</v>
      </c>
      <c r="S184" t="str">
        <f t="shared" si="50"/>
        <v>ok</v>
      </c>
      <c r="T184" t="str">
        <f t="shared" si="51"/>
        <v>ok</v>
      </c>
      <c r="U184" s="1821">
        <v>37.909999999999997</v>
      </c>
      <c r="V184" s="1822">
        <v>1</v>
      </c>
      <c r="W184" s="1822">
        <v>46.33</v>
      </c>
      <c r="X184" s="1822">
        <v>46.33</v>
      </c>
    </row>
    <row r="185" spans="1:24" ht="19.5" customHeight="1">
      <c r="A185" s="1651" t="s">
        <v>1268</v>
      </c>
      <c r="B185" s="1594" t="s">
        <v>1586</v>
      </c>
      <c r="C185" s="1328" t="s">
        <v>519</v>
      </c>
      <c r="D185" s="1390" t="s">
        <v>55</v>
      </c>
      <c r="E185" s="1320">
        <f>K185</f>
        <v>10.620000000000001</v>
      </c>
      <c r="F185" s="1320">
        <f>VLOOKUP(B185,'CADERNO DE COMPOSIÇÃO'!$A$8:$J$15448,10,FALSE)</f>
        <v>10.57</v>
      </c>
      <c r="G185" s="1372">
        <f t="shared" si="56"/>
        <v>8</v>
      </c>
      <c r="H185" s="1601">
        <v>8</v>
      </c>
      <c r="I185" s="1374">
        <f t="shared" si="57"/>
        <v>12.91</v>
      </c>
      <c r="J185" s="77">
        <f t="shared" si="58"/>
        <v>103.28</v>
      </c>
      <c r="K185" s="332">
        <f>'COMP ELE'!F336</f>
        <v>10.620000000000001</v>
      </c>
      <c r="L185" s="53"/>
      <c r="Q185" t="str">
        <f t="shared" si="48"/>
        <v>ok</v>
      </c>
      <c r="R185" t="str">
        <f t="shared" si="49"/>
        <v>ok</v>
      </c>
      <c r="S185" t="str">
        <f t="shared" si="50"/>
        <v>ok</v>
      </c>
      <c r="T185" t="str">
        <f t="shared" si="51"/>
        <v>ok</v>
      </c>
      <c r="U185" s="1821">
        <v>10.620000000000001</v>
      </c>
      <c r="V185" s="1822">
        <v>8</v>
      </c>
      <c r="W185" s="1822">
        <v>12.98</v>
      </c>
      <c r="X185" s="1822">
        <v>103.84</v>
      </c>
    </row>
    <row r="186" spans="1:24" ht="33" customHeight="1">
      <c r="A186" s="1651" t="s">
        <v>1269</v>
      </c>
      <c r="B186" s="1318">
        <v>91967</v>
      </c>
      <c r="C186" s="1328" t="s">
        <v>1589</v>
      </c>
      <c r="D186" s="1390" t="s">
        <v>55</v>
      </c>
      <c r="E186" s="1320">
        <v>51.86</v>
      </c>
      <c r="F186" s="1320">
        <f>VLOOKUP(B186,'CADERNO DE COMPOSIÇÃO'!$A$8:$J$15448,10,FALSE)</f>
        <v>51.59</v>
      </c>
      <c r="G186" s="1372">
        <f t="shared" si="56"/>
        <v>1</v>
      </c>
      <c r="H186" s="1387">
        <v>1</v>
      </c>
      <c r="I186" s="1374">
        <f t="shared" si="57"/>
        <v>63.05</v>
      </c>
      <c r="J186" s="77">
        <f t="shared" si="58"/>
        <v>63.05</v>
      </c>
      <c r="K186" s="1627"/>
      <c r="L186" s="53"/>
      <c r="Q186" t="str">
        <f t="shared" si="48"/>
        <v>ok</v>
      </c>
      <c r="R186" t="str">
        <f t="shared" si="49"/>
        <v>ok</v>
      </c>
      <c r="S186" t="str">
        <f t="shared" si="50"/>
        <v>ok</v>
      </c>
      <c r="T186" t="str">
        <f t="shared" si="51"/>
        <v>ok</v>
      </c>
      <c r="U186" s="1821">
        <v>51.86</v>
      </c>
      <c r="V186" s="1822">
        <v>1</v>
      </c>
      <c r="W186" s="1822">
        <v>63.38</v>
      </c>
      <c r="X186" s="1822">
        <v>63.38</v>
      </c>
    </row>
    <row r="187" spans="1:24" ht="33" customHeight="1">
      <c r="A187" s="1651" t="s">
        <v>1270</v>
      </c>
      <c r="B187" s="1318">
        <v>92022</v>
      </c>
      <c r="C187" s="1328" t="s">
        <v>1591</v>
      </c>
      <c r="D187" s="1390" t="s">
        <v>55</v>
      </c>
      <c r="E187" s="1320">
        <v>35.39</v>
      </c>
      <c r="F187" s="1320">
        <f>VLOOKUP(B187,'CADERNO DE COMPOSIÇÃO'!$A$8:$J$15448,10,FALSE)</f>
        <v>35.31</v>
      </c>
      <c r="G187" s="1372">
        <f t="shared" si="56"/>
        <v>5</v>
      </c>
      <c r="H187" s="1387">
        <v>5</v>
      </c>
      <c r="I187" s="1374">
        <f t="shared" si="57"/>
        <v>43.15</v>
      </c>
      <c r="J187" s="77">
        <f t="shared" si="58"/>
        <v>215.75</v>
      </c>
      <c r="K187" s="1627"/>
      <c r="L187" s="497" t="s">
        <v>1593</v>
      </c>
      <c r="Q187" t="str">
        <f t="shared" si="48"/>
        <v>ok</v>
      </c>
      <c r="R187" t="str">
        <f t="shared" si="49"/>
        <v>ok</v>
      </c>
      <c r="S187" t="str">
        <f t="shared" si="50"/>
        <v>ok</v>
      </c>
      <c r="T187" t="str">
        <f t="shared" si="51"/>
        <v>ok</v>
      </c>
      <c r="U187" s="1821">
        <v>35.39</v>
      </c>
      <c r="V187" s="1822">
        <v>5</v>
      </c>
      <c r="W187" s="1822">
        <v>43.25</v>
      </c>
      <c r="X187" s="1822">
        <v>216.25</v>
      </c>
    </row>
    <row r="188" spans="1:24" ht="33" customHeight="1">
      <c r="A188" s="1092" t="s">
        <v>1271</v>
      </c>
      <c r="B188" s="1318">
        <v>92028</v>
      </c>
      <c r="C188" s="1328" t="s">
        <v>1594</v>
      </c>
      <c r="D188" s="1390" t="s">
        <v>55</v>
      </c>
      <c r="E188" s="1320">
        <v>41.15</v>
      </c>
      <c r="F188" s="1320">
        <f>VLOOKUP(B188,'CADERNO DE COMPOSIÇÃO'!$A$8:$J$15448,10,FALSE)</f>
        <v>41.06</v>
      </c>
      <c r="G188" s="1372">
        <f t="shared" si="56"/>
        <v>1</v>
      </c>
      <c r="H188" s="1387">
        <v>1</v>
      </c>
      <c r="I188" s="1374">
        <f t="shared" si="57"/>
        <v>50.18</v>
      </c>
      <c r="J188" s="77">
        <f t="shared" si="58"/>
        <v>50.18</v>
      </c>
      <c r="K188" s="1627"/>
      <c r="L188" s="497" t="s">
        <v>1590</v>
      </c>
      <c r="Q188" t="str">
        <f t="shared" si="48"/>
        <v>ok</v>
      </c>
      <c r="R188" t="str">
        <f t="shared" si="49"/>
        <v>ok</v>
      </c>
      <c r="S188" t="str">
        <f t="shared" si="50"/>
        <v>ok</v>
      </c>
      <c r="T188" t="str">
        <f t="shared" si="51"/>
        <v>ok</v>
      </c>
      <c r="U188" s="1821">
        <v>41.15</v>
      </c>
      <c r="V188" s="1822">
        <v>1</v>
      </c>
      <c r="W188" s="1822">
        <v>50.29</v>
      </c>
      <c r="X188" s="1822">
        <v>50.29</v>
      </c>
    </row>
    <row r="189" spans="1:24" ht="33" customHeight="1">
      <c r="A189" s="1651" t="s">
        <v>1272</v>
      </c>
      <c r="B189" s="1318">
        <v>91994</v>
      </c>
      <c r="C189" s="1328" t="s">
        <v>1595</v>
      </c>
      <c r="D189" s="1390" t="s">
        <v>55</v>
      </c>
      <c r="E189" s="1320">
        <v>21.47</v>
      </c>
      <c r="F189" s="1320">
        <f>VLOOKUP(B189,'CADERNO DE COMPOSIÇÃO'!$A$8:$J$15448,10,FALSE)</f>
        <v>21.43</v>
      </c>
      <c r="G189" s="1372">
        <f t="shared" si="56"/>
        <v>2</v>
      </c>
      <c r="H189" s="1387">
        <v>2</v>
      </c>
      <c r="I189" s="1374">
        <f t="shared" si="57"/>
        <v>26.19</v>
      </c>
      <c r="J189" s="77">
        <f t="shared" si="58"/>
        <v>52.38</v>
      </c>
      <c r="K189" s="1627"/>
      <c r="L189" s="53"/>
      <c r="Q189" t="str">
        <f t="shared" si="48"/>
        <v>ok</v>
      </c>
      <c r="R189" t="str">
        <f t="shared" si="49"/>
        <v>ok</v>
      </c>
      <c r="S189" t="str">
        <f t="shared" si="50"/>
        <v>ok</v>
      </c>
      <c r="T189" t="str">
        <f t="shared" si="51"/>
        <v>ok</v>
      </c>
      <c r="U189" s="1821">
        <v>21.47</v>
      </c>
      <c r="V189" s="1822">
        <v>2</v>
      </c>
      <c r="W189" s="1822">
        <v>26.24</v>
      </c>
      <c r="X189" s="1822">
        <v>52.48</v>
      </c>
    </row>
    <row r="190" spans="1:24" ht="28.5">
      <c r="A190" s="1651" t="s">
        <v>1273</v>
      </c>
      <c r="B190" s="1318">
        <v>92000</v>
      </c>
      <c r="C190" s="1328" t="s">
        <v>243</v>
      </c>
      <c r="D190" s="80" t="s">
        <v>55</v>
      </c>
      <c r="E190" s="1320">
        <v>25.28</v>
      </c>
      <c r="F190" s="1320">
        <f>VLOOKUP(B190,'CADERNO DE COMPOSIÇÃO'!$A$8:$J$15448,10,FALSE)</f>
        <v>25.14</v>
      </c>
      <c r="G190" s="1372">
        <f t="shared" si="56"/>
        <v>32</v>
      </c>
      <c r="H190" s="1387">
        <v>32</v>
      </c>
      <c r="I190" s="1374">
        <f t="shared" si="57"/>
        <v>30.72</v>
      </c>
      <c r="J190" s="77">
        <f t="shared" si="58"/>
        <v>983.04</v>
      </c>
      <c r="K190" s="1627"/>
      <c r="L190" s="374"/>
      <c r="Q190" t="str">
        <f t="shared" si="48"/>
        <v>ok</v>
      </c>
      <c r="R190" t="str">
        <f t="shared" si="49"/>
        <v>ok</v>
      </c>
      <c r="S190" t="str">
        <f t="shared" si="50"/>
        <v>ok</v>
      </c>
      <c r="T190" t="str">
        <f t="shared" si="51"/>
        <v>ok</v>
      </c>
      <c r="U190" s="1821">
        <v>25.28</v>
      </c>
      <c r="V190" s="1822">
        <v>32</v>
      </c>
      <c r="W190" s="1822">
        <v>30.89</v>
      </c>
      <c r="X190" s="1822">
        <v>988.48</v>
      </c>
    </row>
    <row r="191" spans="1:24" ht="28.5">
      <c r="A191" s="1651" t="s">
        <v>1274</v>
      </c>
      <c r="B191" s="1318">
        <v>91997</v>
      </c>
      <c r="C191" s="1328" t="s">
        <v>1216</v>
      </c>
      <c r="D191" s="1386" t="s">
        <v>55</v>
      </c>
      <c r="E191" s="1320">
        <v>30.66</v>
      </c>
      <c r="F191" s="1320">
        <f>VLOOKUP(B191,'CADERNO DE COMPOSIÇÃO'!$A$8:$J$15448,10,FALSE)</f>
        <v>30.5</v>
      </c>
      <c r="G191" s="1079">
        <f t="shared" si="56"/>
        <v>2</v>
      </c>
      <c r="H191" s="1387">
        <v>2</v>
      </c>
      <c r="I191" s="1034">
        <f t="shared" si="57"/>
        <v>37.28</v>
      </c>
      <c r="J191" s="1037">
        <f t="shared" si="58"/>
        <v>74.56</v>
      </c>
      <c r="K191" s="1627"/>
      <c r="L191" s="374"/>
      <c r="Q191" t="str">
        <f t="shared" si="48"/>
        <v>ok</v>
      </c>
      <c r="R191" t="str">
        <f t="shared" si="49"/>
        <v>ok</v>
      </c>
      <c r="S191" t="str">
        <f t="shared" si="50"/>
        <v>ok</v>
      </c>
      <c r="T191" t="str">
        <f t="shared" si="51"/>
        <v>ok</v>
      </c>
      <c r="U191" s="1821">
        <v>30.66</v>
      </c>
      <c r="V191" s="1822">
        <v>2</v>
      </c>
      <c r="W191" s="1822">
        <v>37.47</v>
      </c>
      <c r="X191" s="1822">
        <v>74.94</v>
      </c>
    </row>
    <row r="192" spans="1:24" ht="33" customHeight="1">
      <c r="A192" s="1651" t="s">
        <v>1275</v>
      </c>
      <c r="B192" s="1318">
        <v>91992</v>
      </c>
      <c r="C192" s="1328" t="s">
        <v>1217</v>
      </c>
      <c r="D192" s="1390" t="s">
        <v>55</v>
      </c>
      <c r="E192" s="1320">
        <v>37.42</v>
      </c>
      <c r="F192" s="1320">
        <f>VLOOKUP(B192,'CADERNO DE COMPOSIÇÃO'!$A$8:$J$15448,10,FALSE)</f>
        <v>37.22</v>
      </c>
      <c r="G192" s="1372">
        <f t="shared" si="56"/>
        <v>2</v>
      </c>
      <c r="H192" s="1387">
        <v>2</v>
      </c>
      <c r="I192" s="1374">
        <f t="shared" si="57"/>
        <v>45.49</v>
      </c>
      <c r="J192" s="77">
        <f t="shared" si="58"/>
        <v>90.98</v>
      </c>
      <c r="K192" s="1627"/>
      <c r="L192" s="374"/>
      <c r="Q192" t="str">
        <f t="shared" si="48"/>
        <v>ok</v>
      </c>
      <c r="R192" t="str">
        <f t="shared" si="49"/>
        <v>ok</v>
      </c>
      <c r="S192" t="str">
        <f t="shared" si="50"/>
        <v>ok</v>
      </c>
      <c r="T192" t="str">
        <f t="shared" si="51"/>
        <v>ok</v>
      </c>
      <c r="U192" s="1821">
        <v>37.42</v>
      </c>
      <c r="V192" s="1822">
        <v>2</v>
      </c>
      <c r="W192" s="1822">
        <v>45.73</v>
      </c>
      <c r="X192" s="1822">
        <v>91.46</v>
      </c>
    </row>
    <row r="193" spans="1:24" ht="28.5">
      <c r="A193" s="1651" t="s">
        <v>1276</v>
      </c>
      <c r="B193" s="1318">
        <v>92009</v>
      </c>
      <c r="C193" s="1328" t="s">
        <v>244</v>
      </c>
      <c r="D193" s="80" t="s">
        <v>55</v>
      </c>
      <c r="E193" s="1320">
        <v>44.5</v>
      </c>
      <c r="F193" s="1320">
        <f>VLOOKUP(B193,'CADERNO DE COMPOSIÇÃO'!$A$8:$J$15448,10,FALSE)</f>
        <v>44.260000000000005</v>
      </c>
      <c r="G193" s="1372">
        <f t="shared" si="56"/>
        <v>19</v>
      </c>
      <c r="H193" s="1387">
        <v>19</v>
      </c>
      <c r="I193" s="1374">
        <f t="shared" si="57"/>
        <v>54.09</v>
      </c>
      <c r="J193" s="77">
        <f t="shared" si="58"/>
        <v>1027.71</v>
      </c>
      <c r="K193" s="1627"/>
      <c r="L193" s="374"/>
      <c r="Q193" t="str">
        <f t="shared" si="48"/>
        <v>ok</v>
      </c>
      <c r="R193" t="str">
        <f t="shared" si="49"/>
        <v>ok</v>
      </c>
      <c r="S193" t="str">
        <f t="shared" si="50"/>
        <v>ok</v>
      </c>
      <c r="T193" t="str">
        <f t="shared" si="51"/>
        <v>ok</v>
      </c>
      <c r="U193" s="1821">
        <v>44.5</v>
      </c>
      <c r="V193" s="1822">
        <v>19</v>
      </c>
      <c r="W193" s="1822">
        <v>54.39</v>
      </c>
      <c r="X193" s="1822">
        <v>1033.4100000000001</v>
      </c>
    </row>
    <row r="194" spans="1:24" ht="28.5">
      <c r="A194" s="1651" t="s">
        <v>1277</v>
      </c>
      <c r="B194" s="1318">
        <v>93653</v>
      </c>
      <c r="C194" s="1328" t="s">
        <v>2213</v>
      </c>
      <c r="D194" s="80" t="s">
        <v>55</v>
      </c>
      <c r="E194" s="1320">
        <v>12.61</v>
      </c>
      <c r="F194" s="1320">
        <f>VLOOKUP(B194,'CADERNO DE COMPOSIÇÃO'!$A$8:$J$15448,10,FALSE)</f>
        <v>12.540000000000001</v>
      </c>
      <c r="G194" s="1372">
        <f t="shared" si="56"/>
        <v>15</v>
      </c>
      <c r="H194" s="1387">
        <v>15</v>
      </c>
      <c r="I194" s="1374">
        <f t="shared" si="57"/>
        <v>15.32</v>
      </c>
      <c r="J194" s="77">
        <f t="shared" si="58"/>
        <v>229.8</v>
      </c>
      <c r="K194" s="1627"/>
      <c r="L194" s="53"/>
      <c r="Q194" t="str">
        <f t="shared" si="48"/>
        <v>ok</v>
      </c>
      <c r="R194" t="str">
        <f t="shared" si="49"/>
        <v>ok</v>
      </c>
      <c r="S194" t="str">
        <f t="shared" si="50"/>
        <v>ok</v>
      </c>
      <c r="T194" t="str">
        <f t="shared" si="51"/>
        <v>ok</v>
      </c>
      <c r="U194" s="1821">
        <v>12.61</v>
      </c>
      <c r="V194" s="1822">
        <v>15</v>
      </c>
      <c r="W194" s="1822">
        <v>15.41</v>
      </c>
      <c r="X194" s="1822">
        <v>231.15</v>
      </c>
    </row>
    <row r="195" spans="1:24" ht="28.5">
      <c r="A195" s="1651" t="s">
        <v>1681</v>
      </c>
      <c r="B195" s="1318">
        <v>93661</v>
      </c>
      <c r="C195" s="1328" t="s">
        <v>1600</v>
      </c>
      <c r="D195" s="80" t="s">
        <v>55</v>
      </c>
      <c r="E195" s="1320">
        <v>63.83</v>
      </c>
      <c r="F195" s="1320">
        <f>VLOOKUP(B195,'CADERNO DE COMPOSIÇÃO'!$A$8:$J$15448,10,FALSE)</f>
        <v>63.51</v>
      </c>
      <c r="G195" s="1372">
        <f t="shared" si="56"/>
        <v>5</v>
      </c>
      <c r="H195" s="1387">
        <v>5</v>
      </c>
      <c r="I195" s="1374">
        <f t="shared" si="57"/>
        <v>77.62</v>
      </c>
      <c r="J195" s="77">
        <f t="shared" si="58"/>
        <v>388.1</v>
      </c>
      <c r="K195" s="1627"/>
      <c r="L195" s="53"/>
      <c r="Q195" t="str">
        <f t="shared" si="48"/>
        <v>ok</v>
      </c>
      <c r="R195" t="str">
        <f t="shared" si="49"/>
        <v>ok</v>
      </c>
      <c r="S195" t="str">
        <f t="shared" si="50"/>
        <v>ok</v>
      </c>
      <c r="T195" t="str">
        <f t="shared" si="51"/>
        <v>ok</v>
      </c>
      <c r="U195" s="1821">
        <v>63.83</v>
      </c>
      <c r="V195" s="1822">
        <v>5</v>
      </c>
      <c r="W195" s="1822">
        <v>78.010000000000005</v>
      </c>
      <c r="X195" s="1822">
        <v>390.05</v>
      </c>
    </row>
    <row r="196" spans="1:24" ht="28.5">
      <c r="A196" s="1651" t="s">
        <v>1278</v>
      </c>
      <c r="B196" s="1318">
        <v>93660</v>
      </c>
      <c r="C196" s="1328" t="s">
        <v>2214</v>
      </c>
      <c r="D196" s="80" t="s">
        <v>55</v>
      </c>
      <c r="E196" s="1320">
        <v>62.67</v>
      </c>
      <c r="F196" s="1320">
        <f>VLOOKUP(B196,'CADERNO DE COMPOSIÇÃO'!$A$8:$J$15448,10,FALSE)</f>
        <v>62.349999999999994</v>
      </c>
      <c r="G196" s="1372">
        <f t="shared" si="56"/>
        <v>4</v>
      </c>
      <c r="H196" s="1387">
        <v>4</v>
      </c>
      <c r="I196" s="1374">
        <f t="shared" si="57"/>
        <v>76.209999999999994</v>
      </c>
      <c r="J196" s="77">
        <f t="shared" si="58"/>
        <v>304.83999999999997</v>
      </c>
      <c r="K196" s="1627"/>
      <c r="L196" s="53"/>
      <c r="Q196" t="str">
        <f t="shared" si="48"/>
        <v>ok</v>
      </c>
      <c r="R196" t="str">
        <f t="shared" si="49"/>
        <v>ok</v>
      </c>
      <c r="S196" t="str">
        <f t="shared" si="50"/>
        <v>ok</v>
      </c>
      <c r="T196" t="str">
        <f t="shared" si="51"/>
        <v>ok</v>
      </c>
      <c r="U196" s="1821">
        <v>62.67</v>
      </c>
      <c r="V196" s="1822">
        <v>4</v>
      </c>
      <c r="W196" s="1822">
        <v>76.599999999999994</v>
      </c>
      <c r="X196" s="1822">
        <v>306.39999999999998</v>
      </c>
    </row>
    <row r="197" spans="1:24" ht="33" customHeight="1">
      <c r="A197" s="1123" t="s">
        <v>1279</v>
      </c>
      <c r="B197" s="1318">
        <v>101895</v>
      </c>
      <c r="C197" s="1328" t="s">
        <v>1601</v>
      </c>
      <c r="D197" s="80" t="s">
        <v>55</v>
      </c>
      <c r="E197" s="1320">
        <v>461.29</v>
      </c>
      <c r="F197" s="1320">
        <f>VLOOKUP(B197,'CADERNO DE COMPOSIÇÃO'!$A$8:$J$15448,10,FALSE)</f>
        <v>459.24000000000007</v>
      </c>
      <c r="G197" s="1372">
        <f t="shared" si="56"/>
        <v>1</v>
      </c>
      <c r="H197" s="1387">
        <v>1</v>
      </c>
      <c r="I197" s="1374">
        <f t="shared" si="57"/>
        <v>561.32000000000005</v>
      </c>
      <c r="J197" s="77">
        <f t="shared" si="58"/>
        <v>561.32000000000005</v>
      </c>
      <c r="K197" s="1627"/>
      <c r="L197" s="53"/>
      <c r="Q197" t="str">
        <f t="shared" si="48"/>
        <v>ok</v>
      </c>
      <c r="R197" t="str">
        <f t="shared" si="49"/>
        <v>ok</v>
      </c>
      <c r="S197" t="str">
        <f t="shared" si="50"/>
        <v>ok</v>
      </c>
      <c r="T197" t="str">
        <f t="shared" si="51"/>
        <v>ok</v>
      </c>
      <c r="U197" s="1821">
        <v>461.29</v>
      </c>
      <c r="V197" s="1822">
        <v>1</v>
      </c>
      <c r="W197" s="1822">
        <v>563.83000000000004</v>
      </c>
      <c r="X197" s="1822">
        <v>563.83000000000004</v>
      </c>
    </row>
    <row r="198" spans="1:24" ht="28.5">
      <c r="A198" s="1651" t="s">
        <v>1682</v>
      </c>
      <c r="B198" s="1594" t="s">
        <v>1599</v>
      </c>
      <c r="C198" s="1328" t="s">
        <v>1602</v>
      </c>
      <c r="D198" s="80" t="s">
        <v>55</v>
      </c>
      <c r="E198" s="1320">
        <f>K198</f>
        <v>310.37</v>
      </c>
      <c r="F198" s="1320">
        <f>VLOOKUP(B198,'CADERNO DE COMPOSIÇÃO'!$A$8:$J$15448,10,FALSE)</f>
        <v>308.88</v>
      </c>
      <c r="G198" s="1372">
        <f t="shared" si="56"/>
        <v>1</v>
      </c>
      <c r="H198" s="1601">
        <v>1</v>
      </c>
      <c r="I198" s="1374">
        <f t="shared" si="57"/>
        <v>377.54</v>
      </c>
      <c r="J198" s="77">
        <f t="shared" si="58"/>
        <v>377.54</v>
      </c>
      <c r="K198" s="332">
        <f>'COMP ELE'!F364</f>
        <v>310.37</v>
      </c>
      <c r="L198" s="53"/>
      <c r="Q198" t="str">
        <f t="shared" si="48"/>
        <v>ok</v>
      </c>
      <c r="R198" t="str">
        <f t="shared" si="49"/>
        <v>ok</v>
      </c>
      <c r="S198" t="str">
        <f t="shared" si="50"/>
        <v>ok</v>
      </c>
      <c r="T198" t="str">
        <f t="shared" si="51"/>
        <v>ok</v>
      </c>
      <c r="U198" s="1821">
        <v>310.37</v>
      </c>
      <c r="V198" s="1822">
        <v>1</v>
      </c>
      <c r="W198" s="1822">
        <v>379.36</v>
      </c>
      <c r="X198" s="1822">
        <v>379.36</v>
      </c>
    </row>
    <row r="199" spans="1:24" ht="28.5">
      <c r="A199" s="1651" t="s">
        <v>1683</v>
      </c>
      <c r="B199" s="1594" t="s">
        <v>2202</v>
      </c>
      <c r="C199" s="1328" t="s">
        <v>2215</v>
      </c>
      <c r="D199" s="80" t="s">
        <v>55</v>
      </c>
      <c r="E199" s="1320">
        <f>K199</f>
        <v>329.72</v>
      </c>
      <c r="F199" s="1320">
        <f>VLOOKUP(B199,'CADERNO DE COMPOSIÇÃO'!$A$8:$J$15448,10,FALSE)</f>
        <v>328.13</v>
      </c>
      <c r="G199" s="1372">
        <f t="shared" ref="G199:G230" si="59">IF(OR(E199&lt;=0)," ",TRUNC(H199,2))</f>
        <v>1</v>
      </c>
      <c r="H199" s="1601">
        <v>1</v>
      </c>
      <c r="I199" s="1374">
        <f t="shared" si="57"/>
        <v>401.07</v>
      </c>
      <c r="J199" s="77">
        <f t="shared" si="58"/>
        <v>401.07</v>
      </c>
      <c r="K199" s="331">
        <f>'COMP ELE'!F392</f>
        <v>329.72</v>
      </c>
      <c r="L199" s="53"/>
      <c r="Q199" t="str">
        <f t="shared" si="48"/>
        <v>ok</v>
      </c>
      <c r="R199" t="str">
        <f t="shared" si="49"/>
        <v>ok</v>
      </c>
      <c r="S199" t="str">
        <f t="shared" si="50"/>
        <v>ok</v>
      </c>
      <c r="T199" t="str">
        <f t="shared" si="51"/>
        <v>ok</v>
      </c>
      <c r="U199" s="1821">
        <v>329.72</v>
      </c>
      <c r="V199" s="1822">
        <v>1</v>
      </c>
      <c r="W199" s="1822">
        <v>403.01</v>
      </c>
      <c r="X199" s="1822">
        <v>403.01</v>
      </c>
    </row>
    <row r="200" spans="1:24" ht="28.5">
      <c r="A200" s="1092" t="s">
        <v>1684</v>
      </c>
      <c r="B200" s="1388">
        <v>91941</v>
      </c>
      <c r="C200" s="1328" t="s">
        <v>429</v>
      </c>
      <c r="D200" s="80" t="s">
        <v>55</v>
      </c>
      <c r="E200" s="1320">
        <v>9.8800000000000008</v>
      </c>
      <c r="F200" s="1320">
        <f>VLOOKUP(B200,'CADERNO DE COMPOSIÇÃO'!$A$8:$J$15448,10,FALSE)</f>
        <v>9.8600000000000012</v>
      </c>
      <c r="G200" s="1372">
        <f t="shared" si="59"/>
        <v>54</v>
      </c>
      <c r="H200" s="1387">
        <v>54</v>
      </c>
      <c r="I200" s="1374">
        <f t="shared" si="57"/>
        <v>12.05</v>
      </c>
      <c r="J200" s="77">
        <f t="shared" si="58"/>
        <v>650.70000000000005</v>
      </c>
      <c r="K200" s="1218"/>
      <c r="L200" s="53"/>
      <c r="Q200" t="str">
        <f t="shared" si="48"/>
        <v>ok</v>
      </c>
      <c r="R200" t="str">
        <f t="shared" si="49"/>
        <v>ok</v>
      </c>
      <c r="S200" t="str">
        <f t="shared" si="50"/>
        <v>ok</v>
      </c>
      <c r="T200" t="str">
        <f t="shared" si="51"/>
        <v>ok</v>
      </c>
      <c r="U200" s="1821">
        <v>9.8800000000000008</v>
      </c>
      <c r="V200" s="1822">
        <v>54</v>
      </c>
      <c r="W200" s="1822">
        <v>12.07</v>
      </c>
      <c r="X200" s="1822">
        <v>651.78</v>
      </c>
    </row>
    <row r="201" spans="1:24" ht="28.5">
      <c r="A201" s="1651" t="s">
        <v>1685</v>
      </c>
      <c r="B201" s="1199">
        <v>91940</v>
      </c>
      <c r="C201" s="1385" t="s">
        <v>123</v>
      </c>
      <c r="D201" s="1386" t="s">
        <v>55</v>
      </c>
      <c r="E201" s="1320">
        <v>14.62</v>
      </c>
      <c r="F201" s="1320">
        <f>VLOOKUP(B201,'CADERNO DE COMPOSIÇÃO'!$A$8:$J$15448,10,FALSE)</f>
        <v>14.6</v>
      </c>
      <c r="G201" s="1079">
        <f t="shared" si="59"/>
        <v>16</v>
      </c>
      <c r="H201" s="1387">
        <v>16</v>
      </c>
      <c r="I201" s="1034">
        <f t="shared" si="57"/>
        <v>17.84</v>
      </c>
      <c r="J201" s="1037">
        <f t="shared" si="58"/>
        <v>285.44</v>
      </c>
      <c r="K201" s="1218"/>
      <c r="L201" s="53"/>
      <c r="Q201" t="str">
        <f t="shared" si="48"/>
        <v>ok</v>
      </c>
      <c r="R201" t="str">
        <f t="shared" si="49"/>
        <v>ok</v>
      </c>
      <c r="S201" t="str">
        <f t="shared" si="50"/>
        <v>ok</v>
      </c>
      <c r="T201" t="str">
        <f t="shared" si="51"/>
        <v>ok</v>
      </c>
      <c r="U201" s="1821">
        <v>14.62</v>
      </c>
      <c r="V201" s="1822">
        <v>16</v>
      </c>
      <c r="W201" s="1822">
        <v>17.87</v>
      </c>
      <c r="X201" s="1822">
        <v>285.92</v>
      </c>
    </row>
    <row r="202" spans="1:24" ht="28.5">
      <c r="A202" s="1651" t="s">
        <v>1686</v>
      </c>
      <c r="B202" s="1318">
        <v>91939</v>
      </c>
      <c r="C202" s="1328" t="s">
        <v>175</v>
      </c>
      <c r="D202" s="1390" t="s">
        <v>55</v>
      </c>
      <c r="E202" s="1072">
        <v>27.28</v>
      </c>
      <c r="F202" s="1320">
        <f>VLOOKUP(B202,'CADERNO DE COMPOSIÇÃO'!$A$8:$J$15448,10,FALSE)</f>
        <v>27.26</v>
      </c>
      <c r="G202" s="1372">
        <f t="shared" si="59"/>
        <v>9</v>
      </c>
      <c r="H202" s="1602">
        <v>9</v>
      </c>
      <c r="I202" s="1374">
        <f t="shared" si="57"/>
        <v>33.31</v>
      </c>
      <c r="J202" s="77">
        <f t="shared" si="58"/>
        <v>299.79000000000002</v>
      </c>
      <c r="K202" s="332"/>
      <c r="L202" s="307"/>
      <c r="Q202" t="str">
        <f t="shared" si="48"/>
        <v>ok</v>
      </c>
      <c r="R202" t="str">
        <f t="shared" si="49"/>
        <v>ok</v>
      </c>
      <c r="S202" t="str">
        <f t="shared" si="50"/>
        <v>ok</v>
      </c>
      <c r="T202" t="str">
        <f t="shared" si="51"/>
        <v>ok</v>
      </c>
      <c r="U202" s="1821">
        <v>27.28</v>
      </c>
      <c r="V202" s="1822">
        <v>9</v>
      </c>
      <c r="W202" s="1822">
        <v>33.340000000000003</v>
      </c>
      <c r="X202" s="1822">
        <v>300.06</v>
      </c>
    </row>
    <row r="203" spans="1:24" ht="28.5">
      <c r="A203" s="1651" t="s">
        <v>1687</v>
      </c>
      <c r="B203" s="1497" t="s">
        <v>1596</v>
      </c>
      <c r="C203" s="1328" t="s">
        <v>1567</v>
      </c>
      <c r="D203" s="80" t="s">
        <v>55</v>
      </c>
      <c r="E203" s="1320">
        <f>K203</f>
        <v>98.740000000000009</v>
      </c>
      <c r="F203" s="1320">
        <f>VLOOKUP(B203,'CADERNO DE COMPOSIÇÃO'!$A$8:$J$15448,10,FALSE)</f>
        <v>98.31</v>
      </c>
      <c r="G203" s="1372">
        <f t="shared" si="59"/>
        <v>2</v>
      </c>
      <c r="H203" s="1387">
        <v>2</v>
      </c>
      <c r="I203" s="1374">
        <f t="shared" si="57"/>
        <v>120.16</v>
      </c>
      <c r="J203" s="77">
        <f t="shared" si="58"/>
        <v>240.32</v>
      </c>
      <c r="K203" s="333">
        <f>'COMP ELE'!F353</f>
        <v>98.740000000000009</v>
      </c>
      <c r="L203" s="307"/>
      <c r="Q203" t="str">
        <f t="shared" si="48"/>
        <v>ok</v>
      </c>
      <c r="R203" t="str">
        <f t="shared" si="49"/>
        <v>ok</v>
      </c>
      <c r="S203" t="str">
        <f t="shared" si="50"/>
        <v>ok</v>
      </c>
      <c r="T203" t="str">
        <f t="shared" si="51"/>
        <v>ok</v>
      </c>
      <c r="U203" s="1821">
        <v>98.740000000000009</v>
      </c>
      <c r="V203" s="1822">
        <v>2</v>
      </c>
      <c r="W203" s="1822">
        <v>120.68</v>
      </c>
      <c r="X203" s="1822">
        <v>241.36</v>
      </c>
    </row>
    <row r="204" spans="1:24" ht="30" customHeight="1">
      <c r="A204" s="1651" t="s">
        <v>1688</v>
      </c>
      <c r="B204" s="1497" t="s">
        <v>536</v>
      </c>
      <c r="C204" s="1328" t="s">
        <v>1568</v>
      </c>
      <c r="D204" s="80" t="s">
        <v>55</v>
      </c>
      <c r="E204" s="1320">
        <f>K204</f>
        <v>148.94</v>
      </c>
      <c r="F204" s="1320">
        <f>VLOOKUP(B204,'CADERNO DE COMPOSIÇÃO'!$A$8:$J$15448,10,FALSE)</f>
        <v>148.26</v>
      </c>
      <c r="G204" s="1372">
        <f t="shared" si="59"/>
        <v>5</v>
      </c>
      <c r="H204" s="1387">
        <v>5</v>
      </c>
      <c r="I204" s="1374">
        <f t="shared" si="57"/>
        <v>181.21</v>
      </c>
      <c r="J204" s="77">
        <f t="shared" si="58"/>
        <v>906.05</v>
      </c>
      <c r="K204" s="333">
        <f>'COMP ELE'!F245</f>
        <v>148.94</v>
      </c>
      <c r="L204" s="53"/>
      <c r="Q204" t="str">
        <f t="shared" si="48"/>
        <v>ok</v>
      </c>
      <c r="R204" t="str">
        <f t="shared" si="49"/>
        <v>ok</v>
      </c>
      <c r="S204" t="str">
        <f t="shared" si="50"/>
        <v>ok</v>
      </c>
      <c r="T204" t="str">
        <f t="shared" si="51"/>
        <v>ok</v>
      </c>
      <c r="U204" s="1821">
        <v>148.94</v>
      </c>
      <c r="V204" s="1822">
        <v>5</v>
      </c>
      <c r="W204" s="1822">
        <v>182.04</v>
      </c>
      <c r="X204" s="1822">
        <v>910.2</v>
      </c>
    </row>
    <row r="205" spans="1:24" ht="22.5" customHeight="1">
      <c r="A205" s="1651" t="s">
        <v>1689</v>
      </c>
      <c r="B205" s="1594" t="s">
        <v>1605</v>
      </c>
      <c r="C205" s="1328" t="s">
        <v>242</v>
      </c>
      <c r="D205" s="80" t="s">
        <v>55</v>
      </c>
      <c r="E205" s="1320">
        <f>K205</f>
        <v>89.009999999999991</v>
      </c>
      <c r="F205" s="1320">
        <f>VLOOKUP(B205,'CADERNO DE COMPOSIÇÃO'!$A$8:$J$15448,10,FALSE)</f>
        <v>88.62</v>
      </c>
      <c r="G205" s="1372">
        <f t="shared" si="59"/>
        <v>4</v>
      </c>
      <c r="H205" s="1387">
        <v>4</v>
      </c>
      <c r="I205" s="1374">
        <f t="shared" si="57"/>
        <v>108.32</v>
      </c>
      <c r="J205" s="77">
        <f t="shared" si="58"/>
        <v>433.28</v>
      </c>
      <c r="K205" s="498">
        <f>'COMP ELE'!F381</f>
        <v>89.009999999999991</v>
      </c>
      <c r="L205" s="496"/>
      <c r="Q205" t="str">
        <f t="shared" si="48"/>
        <v>ok</v>
      </c>
      <c r="R205" t="str">
        <f t="shared" si="49"/>
        <v>ok</v>
      </c>
      <c r="S205" t="str">
        <f t="shared" si="50"/>
        <v>ok</v>
      </c>
      <c r="T205" t="str">
        <f t="shared" si="51"/>
        <v>ok</v>
      </c>
      <c r="U205" s="1821">
        <v>89.009999999999991</v>
      </c>
      <c r="V205" s="1822">
        <v>4</v>
      </c>
      <c r="W205" s="1822">
        <v>108.79</v>
      </c>
      <c r="X205" s="1822">
        <v>435.16</v>
      </c>
    </row>
    <row r="206" spans="1:24" ht="21.75" customHeight="1">
      <c r="A206" s="1651" t="s">
        <v>1690</v>
      </c>
      <c r="B206" s="1594" t="s">
        <v>524</v>
      </c>
      <c r="C206" s="1328" t="s">
        <v>1615</v>
      </c>
      <c r="D206" s="80" t="s">
        <v>55</v>
      </c>
      <c r="E206" s="1320">
        <f>K206</f>
        <v>4.2</v>
      </c>
      <c r="F206" s="1320">
        <f>VLOOKUP(B206,'CADERNO DE COMPOSIÇÃO'!$A$8:$J$15448,10,FALSE)</f>
        <v>4.18</v>
      </c>
      <c r="G206" s="1372">
        <f t="shared" si="59"/>
        <v>62</v>
      </c>
      <c r="H206" s="1387">
        <v>62</v>
      </c>
      <c r="I206" s="1374">
        <f t="shared" si="57"/>
        <v>5.0999999999999996</v>
      </c>
      <c r="J206" s="77">
        <f t="shared" si="58"/>
        <v>316.2</v>
      </c>
      <c r="K206" s="332">
        <f>'COMP ELE'!F194</f>
        <v>4.2</v>
      </c>
      <c r="L206" s="53"/>
      <c r="Q206" t="str">
        <f t="shared" si="48"/>
        <v>ok</v>
      </c>
      <c r="R206" t="str">
        <f t="shared" si="49"/>
        <v>ok</v>
      </c>
      <c r="S206" t="str">
        <f t="shared" si="50"/>
        <v>ok</v>
      </c>
      <c r="T206" t="str">
        <f t="shared" si="51"/>
        <v>ok</v>
      </c>
      <c r="U206" s="1821">
        <v>4.2</v>
      </c>
      <c r="V206" s="1822">
        <v>62</v>
      </c>
      <c r="W206" s="1822">
        <v>5.13</v>
      </c>
      <c r="X206" s="1822">
        <v>318.06</v>
      </c>
    </row>
    <row r="207" spans="1:24" ht="25.5" customHeight="1">
      <c r="A207" s="1651" t="s">
        <v>1691</v>
      </c>
      <c r="B207" s="1594" t="s">
        <v>1614</v>
      </c>
      <c r="C207" s="1328" t="s">
        <v>1616</v>
      </c>
      <c r="D207" s="80" t="s">
        <v>55</v>
      </c>
      <c r="E207" s="1320">
        <f>K207</f>
        <v>4</v>
      </c>
      <c r="F207" s="1320">
        <f>VLOOKUP(B207,'CADERNO DE COMPOSIÇÃO'!$A$8:$J$15448,10,FALSE)</f>
        <v>3.98</v>
      </c>
      <c r="G207" s="1372">
        <f t="shared" si="59"/>
        <v>26</v>
      </c>
      <c r="H207" s="1601">
        <v>26</v>
      </c>
      <c r="I207" s="1374">
        <f t="shared" si="57"/>
        <v>4.8600000000000003</v>
      </c>
      <c r="J207" s="77">
        <f t="shared" si="58"/>
        <v>126.36</v>
      </c>
      <c r="K207" s="509">
        <f>'COMP ELE'!F409</f>
        <v>4</v>
      </c>
      <c r="L207" s="53"/>
      <c r="Q207" t="str">
        <f t="shared" si="48"/>
        <v>ok</v>
      </c>
      <c r="R207" t="str">
        <f t="shared" si="49"/>
        <v>ok</v>
      </c>
      <c r="S207" t="str">
        <f t="shared" si="50"/>
        <v>ok</v>
      </c>
      <c r="T207" t="str">
        <f t="shared" si="51"/>
        <v>ok</v>
      </c>
      <c r="U207" s="1821">
        <v>4</v>
      </c>
      <c r="V207" s="1822">
        <v>26</v>
      </c>
      <c r="W207" s="1822">
        <v>4.88</v>
      </c>
      <c r="X207" s="1822">
        <v>126.88</v>
      </c>
    </row>
    <row r="208" spans="1:24" ht="36" customHeight="1">
      <c r="A208" s="1651" t="s">
        <v>1692</v>
      </c>
      <c r="B208" s="1388">
        <v>95727</v>
      </c>
      <c r="C208" s="1328" t="s">
        <v>2438</v>
      </c>
      <c r="D208" s="1389" t="s">
        <v>54</v>
      </c>
      <c r="E208" s="1320">
        <v>12.01</v>
      </c>
      <c r="F208" s="1320">
        <f>VLOOKUP(B208,'CADERNO DE COMPOSIÇÃO'!$A$8:$J$15448,10,FALSE)</f>
        <v>11.969999999999999</v>
      </c>
      <c r="G208" s="1372">
        <f t="shared" si="59"/>
        <v>71.25</v>
      </c>
      <c r="H208" s="1387">
        <f>15.9+55.35</f>
        <v>71.25</v>
      </c>
      <c r="I208" s="1374">
        <f t="shared" si="57"/>
        <v>14.63</v>
      </c>
      <c r="J208" s="77">
        <f t="shared" si="58"/>
        <v>1042.3800000000001</v>
      </c>
      <c r="K208" s="1219"/>
      <c r="L208" s="1627"/>
      <c r="Q208" t="str">
        <f t="shared" si="48"/>
        <v>ok</v>
      </c>
      <c r="R208" t="str">
        <f t="shared" si="49"/>
        <v>ok</v>
      </c>
      <c r="S208" t="str">
        <f t="shared" si="50"/>
        <v>ok</v>
      </c>
      <c r="T208" t="str">
        <f t="shared" si="51"/>
        <v>ok</v>
      </c>
      <c r="U208" s="1821">
        <v>12.01</v>
      </c>
      <c r="V208" s="1822">
        <v>71.25</v>
      </c>
      <c r="W208" s="1822">
        <v>14.67</v>
      </c>
      <c r="X208" s="1822">
        <v>1045.23</v>
      </c>
    </row>
    <row r="209" spans="1:24" ht="36" customHeight="1">
      <c r="A209" s="1651" t="s">
        <v>2440</v>
      </c>
      <c r="B209" s="1388">
        <v>91846</v>
      </c>
      <c r="C209" s="1328" t="s">
        <v>430</v>
      </c>
      <c r="D209" s="1389" t="s">
        <v>54</v>
      </c>
      <c r="E209" s="1320">
        <v>9.8000000000000007</v>
      </c>
      <c r="F209" s="1320">
        <f>VLOOKUP(B209,'CADERNO DE COMPOSIÇÃO'!$A$8:$J$15448,10,FALSE)</f>
        <v>9.77</v>
      </c>
      <c r="G209" s="1372">
        <f t="shared" si="59"/>
        <v>10</v>
      </c>
      <c r="H209" s="1387">
        <v>10</v>
      </c>
      <c r="I209" s="1374">
        <f t="shared" si="57"/>
        <v>11.94</v>
      </c>
      <c r="J209" s="77">
        <f t="shared" si="58"/>
        <v>119.4</v>
      </c>
      <c r="K209" s="1219"/>
      <c r="L209" s="1627"/>
      <c r="Q209" t="str">
        <f t="shared" si="48"/>
        <v>ok</v>
      </c>
      <c r="R209" t="str">
        <f t="shared" si="49"/>
        <v>ok</v>
      </c>
      <c r="S209" t="str">
        <f t="shared" si="50"/>
        <v>ok</v>
      </c>
      <c r="T209" t="str">
        <f t="shared" si="51"/>
        <v>ok</v>
      </c>
      <c r="U209" s="1821">
        <v>9.8000000000000007</v>
      </c>
      <c r="V209" s="1822">
        <v>10</v>
      </c>
      <c r="W209" s="1822">
        <v>11.97</v>
      </c>
      <c r="X209" s="1822">
        <v>119.7</v>
      </c>
    </row>
    <row r="210" spans="1:24" ht="36" customHeight="1">
      <c r="A210" s="1651" t="s">
        <v>1693</v>
      </c>
      <c r="B210" s="1388">
        <v>91844</v>
      </c>
      <c r="C210" s="1328" t="s">
        <v>431</v>
      </c>
      <c r="D210" s="1389" t="s">
        <v>54</v>
      </c>
      <c r="E210" s="1320">
        <v>6.87</v>
      </c>
      <c r="F210" s="1320">
        <f>VLOOKUP(B210,'CADERNO DE COMPOSIÇÃO'!$A$8:$J$15448,10,FALSE)</f>
        <v>6.85</v>
      </c>
      <c r="G210" s="1372">
        <f t="shared" si="59"/>
        <v>264.10000000000002</v>
      </c>
      <c r="H210" s="1387">
        <v>264.10000000000002</v>
      </c>
      <c r="I210" s="1374">
        <f t="shared" si="57"/>
        <v>8.3699999999999992</v>
      </c>
      <c r="J210" s="77">
        <f t="shared" si="58"/>
        <v>2210.5100000000002</v>
      </c>
      <c r="K210" s="1219"/>
      <c r="L210" s="1627"/>
      <c r="Q210" t="str">
        <f t="shared" ref="Q210:Q273" si="60">IF(F210&gt;U210,"CONFERIR","ok")</f>
        <v>ok</v>
      </c>
      <c r="R210" t="str">
        <f t="shared" ref="R210:R273" si="61">IF(G210&gt;V210,"CONFERIR","ok")</f>
        <v>ok</v>
      </c>
      <c r="S210" t="str">
        <f t="shared" ref="S210:S273" si="62">IF(I210&gt;W210,"CONFERIR","ok")</f>
        <v>ok</v>
      </c>
      <c r="T210" t="str">
        <f t="shared" ref="T210:T273" si="63">IF(J210&gt;X210,"CONFERIR","ok")</f>
        <v>ok</v>
      </c>
      <c r="U210" s="1821">
        <v>6.87</v>
      </c>
      <c r="V210" s="1822">
        <v>264.10000000000002</v>
      </c>
      <c r="W210" s="1822">
        <v>8.39</v>
      </c>
      <c r="X210" s="1822">
        <v>2215.79</v>
      </c>
    </row>
    <row r="211" spans="1:24" ht="45" customHeight="1">
      <c r="A211" s="1651" t="s">
        <v>1694</v>
      </c>
      <c r="B211" s="1388">
        <v>91854</v>
      </c>
      <c r="C211" s="1328" t="s">
        <v>1611</v>
      </c>
      <c r="D211" s="1389" t="s">
        <v>54</v>
      </c>
      <c r="E211" s="1320">
        <v>9.27</v>
      </c>
      <c r="F211" s="1320">
        <f>VLOOKUP(B211,'CADERNO DE COMPOSIÇÃO'!$A$8:$J$15448,10,FALSE)</f>
        <v>9.25</v>
      </c>
      <c r="G211" s="1372">
        <f t="shared" si="59"/>
        <v>13.25</v>
      </c>
      <c r="H211" s="1387">
        <v>13.25</v>
      </c>
      <c r="I211" s="1374">
        <f t="shared" si="57"/>
        <v>11.3</v>
      </c>
      <c r="J211" s="77">
        <f t="shared" si="58"/>
        <v>149.72</v>
      </c>
      <c r="K211" s="1219"/>
      <c r="L211" s="1627"/>
      <c r="Q211" t="str">
        <f t="shared" si="60"/>
        <v>ok</v>
      </c>
      <c r="R211" t="str">
        <f t="shared" si="61"/>
        <v>ok</v>
      </c>
      <c r="S211" t="str">
        <f t="shared" si="62"/>
        <v>ok</v>
      </c>
      <c r="T211" t="str">
        <f t="shared" si="63"/>
        <v>ok</v>
      </c>
      <c r="U211" s="1821">
        <v>9.27</v>
      </c>
      <c r="V211" s="1822">
        <v>13.25</v>
      </c>
      <c r="W211" s="1822">
        <v>11.33</v>
      </c>
      <c r="X211" s="1822">
        <v>150.12</v>
      </c>
    </row>
    <row r="212" spans="1:24" ht="45" customHeight="1">
      <c r="A212" s="1092" t="s">
        <v>1695</v>
      </c>
      <c r="B212" s="1388">
        <v>97667</v>
      </c>
      <c r="C212" s="1328" t="s">
        <v>2216</v>
      </c>
      <c r="D212" s="1389" t="s">
        <v>54</v>
      </c>
      <c r="E212" s="1320">
        <v>9.4600000000000009</v>
      </c>
      <c r="F212" s="1320">
        <f>VLOOKUP(B212,'CADERNO DE COMPOSIÇÃO'!$A$8:$J$15448,10,FALSE)</f>
        <v>9.43</v>
      </c>
      <c r="G212" s="1372">
        <f t="shared" si="59"/>
        <v>19.5</v>
      </c>
      <c r="H212" s="1387">
        <v>19.5</v>
      </c>
      <c r="I212" s="1374">
        <f t="shared" si="57"/>
        <v>11.52</v>
      </c>
      <c r="J212" s="77">
        <f t="shared" si="58"/>
        <v>224.64</v>
      </c>
      <c r="K212" s="332"/>
      <c r="L212" s="1627"/>
      <c r="Q212" t="str">
        <f t="shared" si="60"/>
        <v>ok</v>
      </c>
      <c r="R212" t="str">
        <f t="shared" si="61"/>
        <v>ok</v>
      </c>
      <c r="S212" t="str">
        <f t="shared" si="62"/>
        <v>ok</v>
      </c>
      <c r="T212" t="str">
        <f t="shared" si="63"/>
        <v>ok</v>
      </c>
      <c r="U212" s="1821">
        <v>9.4600000000000009</v>
      </c>
      <c r="V212" s="1822">
        <v>19.5</v>
      </c>
      <c r="W212" s="1822">
        <v>11.56</v>
      </c>
      <c r="X212" s="1822">
        <v>225.42</v>
      </c>
    </row>
    <row r="213" spans="1:24" ht="30.75" customHeight="1">
      <c r="A213" s="1651" t="s">
        <v>1696</v>
      </c>
      <c r="B213" s="1594" t="s">
        <v>1617</v>
      </c>
      <c r="C213" s="1328" t="s">
        <v>1610</v>
      </c>
      <c r="D213" s="1390" t="s">
        <v>55</v>
      </c>
      <c r="E213" s="1320">
        <f>K213</f>
        <v>346.85</v>
      </c>
      <c r="F213" s="1320">
        <f>VLOOKUP(B213,'CADERNO DE COMPOSIÇÃO'!$A$8:$J$15448,10,FALSE)</f>
        <v>345.35</v>
      </c>
      <c r="G213" s="1372">
        <f t="shared" si="59"/>
        <v>23</v>
      </c>
      <c r="H213" s="1601">
        <v>23</v>
      </c>
      <c r="I213" s="1034">
        <f t="shared" si="57"/>
        <v>422.12</v>
      </c>
      <c r="J213" s="1037">
        <f t="shared" si="58"/>
        <v>9708.76</v>
      </c>
      <c r="K213" s="332">
        <f>'COMP ELE'!F428</f>
        <v>346.85</v>
      </c>
      <c r="L213" s="375"/>
      <c r="Q213" t="str">
        <f t="shared" si="60"/>
        <v>ok</v>
      </c>
      <c r="R213" t="str">
        <f t="shared" si="61"/>
        <v>ok</v>
      </c>
      <c r="S213" t="str">
        <f t="shared" si="62"/>
        <v>ok</v>
      </c>
      <c r="T213" t="str">
        <f t="shared" si="63"/>
        <v>ok</v>
      </c>
      <c r="U213" s="1821">
        <v>346.85</v>
      </c>
      <c r="V213" s="1822">
        <v>23</v>
      </c>
      <c r="W213" s="1822">
        <v>423.95</v>
      </c>
      <c r="X213" s="1822">
        <v>9750.85</v>
      </c>
    </row>
    <row r="214" spans="1:24" ht="30.75" customHeight="1">
      <c r="A214" s="1651" t="s">
        <v>1697</v>
      </c>
      <c r="B214" s="1594" t="s">
        <v>1619</v>
      </c>
      <c r="C214" s="1328" t="s">
        <v>1628</v>
      </c>
      <c r="D214" s="1390" t="s">
        <v>55</v>
      </c>
      <c r="E214" s="1105">
        <f>K214</f>
        <v>61.94</v>
      </c>
      <c r="F214" s="1320">
        <f>VLOOKUP(B214,'CADERNO DE COMPOSIÇÃO'!$A$8:$J$15448,10,FALSE)</f>
        <v>61.7</v>
      </c>
      <c r="G214" s="1372">
        <f t="shared" si="59"/>
        <v>5</v>
      </c>
      <c r="H214" s="1392">
        <v>5</v>
      </c>
      <c r="I214" s="1374">
        <f t="shared" si="57"/>
        <v>75.41</v>
      </c>
      <c r="J214" s="77">
        <f t="shared" si="58"/>
        <v>377.05</v>
      </c>
      <c r="K214" s="332">
        <f>'COMP ELE'!F446</f>
        <v>61.94</v>
      </c>
      <c r="L214" s="375"/>
      <c r="Q214" t="str">
        <f t="shared" si="60"/>
        <v>ok</v>
      </c>
      <c r="R214" t="str">
        <f t="shared" si="61"/>
        <v>ok</v>
      </c>
      <c r="S214" t="str">
        <f t="shared" si="62"/>
        <v>ok</v>
      </c>
      <c r="T214" t="str">
        <f t="shared" si="63"/>
        <v>ok</v>
      </c>
      <c r="U214" s="1821">
        <v>61.94</v>
      </c>
      <c r="V214" s="1822">
        <v>5</v>
      </c>
      <c r="W214" s="1822">
        <v>75.7</v>
      </c>
      <c r="X214" s="1822">
        <v>378.5</v>
      </c>
    </row>
    <row r="215" spans="1:24" ht="30.75" customHeight="1">
      <c r="A215" s="1651" t="s">
        <v>1698</v>
      </c>
      <c r="B215" s="1594" t="s">
        <v>1621</v>
      </c>
      <c r="C215" s="1328" t="s">
        <v>1627</v>
      </c>
      <c r="D215" s="1390" t="s">
        <v>55</v>
      </c>
      <c r="E215" s="1105">
        <f>K215</f>
        <v>37.989999999999995</v>
      </c>
      <c r="F215" s="1320">
        <f>VLOOKUP(B215,'CADERNO DE COMPOSIÇÃO'!$A$8:$J$15448,10,FALSE)</f>
        <v>37.870000000000005</v>
      </c>
      <c r="G215" s="1372">
        <f t="shared" si="59"/>
        <v>5</v>
      </c>
      <c r="H215" s="1392">
        <v>5</v>
      </c>
      <c r="I215" s="1374">
        <f t="shared" si="57"/>
        <v>46.28</v>
      </c>
      <c r="J215" s="77">
        <f t="shared" si="58"/>
        <v>231.4</v>
      </c>
      <c r="K215" s="332">
        <f>'COMP ELE'!F458</f>
        <v>37.989999999999995</v>
      </c>
      <c r="L215" s="375"/>
      <c r="Q215" t="str">
        <f t="shared" si="60"/>
        <v>ok</v>
      </c>
      <c r="R215" t="str">
        <f t="shared" si="61"/>
        <v>ok</v>
      </c>
      <c r="S215" t="str">
        <f t="shared" si="62"/>
        <v>ok</v>
      </c>
      <c r="T215" t="str">
        <f t="shared" si="63"/>
        <v>ok</v>
      </c>
      <c r="U215" s="1821">
        <v>37.989999999999995</v>
      </c>
      <c r="V215" s="1822">
        <v>5</v>
      </c>
      <c r="W215" s="1822">
        <v>46.43</v>
      </c>
      <c r="X215" s="1822">
        <v>232.15</v>
      </c>
    </row>
    <row r="216" spans="1:24" ht="32.25" customHeight="1">
      <c r="A216" s="1651" t="s">
        <v>1699</v>
      </c>
      <c r="B216" s="1594" t="s">
        <v>1622</v>
      </c>
      <c r="C216" s="1328" t="s">
        <v>1634</v>
      </c>
      <c r="D216" s="1390" t="s">
        <v>55</v>
      </c>
      <c r="E216" s="1105">
        <f>K216</f>
        <v>78.03</v>
      </c>
      <c r="F216" s="1320">
        <f>VLOOKUP(B216,'CADERNO DE COMPOSIÇÃO'!$A$8:$J$15448,10,FALSE)</f>
        <v>77.72</v>
      </c>
      <c r="G216" s="1372">
        <f t="shared" si="59"/>
        <v>4</v>
      </c>
      <c r="H216" s="1392">
        <v>4</v>
      </c>
      <c r="I216" s="1374">
        <f t="shared" si="57"/>
        <v>94.99</v>
      </c>
      <c r="J216" s="77">
        <f t="shared" si="58"/>
        <v>379.96</v>
      </c>
      <c r="K216" s="332">
        <f>'COMP ELE'!F471</f>
        <v>78.03</v>
      </c>
      <c r="L216" s="375"/>
      <c r="Q216" t="str">
        <f t="shared" si="60"/>
        <v>ok</v>
      </c>
      <c r="R216" t="str">
        <f t="shared" si="61"/>
        <v>ok</v>
      </c>
      <c r="S216" t="str">
        <f t="shared" si="62"/>
        <v>ok</v>
      </c>
      <c r="T216" t="str">
        <f t="shared" si="63"/>
        <v>ok</v>
      </c>
      <c r="U216" s="1821">
        <v>78.03</v>
      </c>
      <c r="V216" s="1822">
        <v>4</v>
      </c>
      <c r="W216" s="1822">
        <v>95.37</v>
      </c>
      <c r="X216" s="1822">
        <v>381.48</v>
      </c>
    </row>
    <row r="217" spans="1:24" ht="21.75" customHeight="1">
      <c r="A217" s="1651" t="s">
        <v>1700</v>
      </c>
      <c r="B217" s="1594" t="s">
        <v>1626</v>
      </c>
      <c r="C217" s="1328" t="s">
        <v>1625</v>
      </c>
      <c r="D217" s="1390" t="s">
        <v>55</v>
      </c>
      <c r="E217" s="1105">
        <f>K217</f>
        <v>6.9600000000000009</v>
      </c>
      <c r="F217" s="1320">
        <f>VLOOKUP(B217,'CADERNO DE COMPOSIÇÃO'!$A$8:$J$15448,10,FALSE)</f>
        <v>6.93</v>
      </c>
      <c r="G217" s="1372">
        <f t="shared" si="59"/>
        <v>5</v>
      </c>
      <c r="H217" s="1106">
        <v>5</v>
      </c>
      <c r="I217" s="1374">
        <f t="shared" si="57"/>
        <v>8.4700000000000006</v>
      </c>
      <c r="J217" s="77">
        <f t="shared" si="58"/>
        <v>42.35</v>
      </c>
      <c r="K217" s="332">
        <f>'COMP ELE'!F488</f>
        <v>6.9600000000000009</v>
      </c>
      <c r="L217" s="375"/>
      <c r="Q217" t="str">
        <f t="shared" si="60"/>
        <v>ok</v>
      </c>
      <c r="R217" t="str">
        <f t="shared" si="61"/>
        <v>ok</v>
      </c>
      <c r="S217" t="str">
        <f t="shared" si="62"/>
        <v>ok</v>
      </c>
      <c r="T217" t="str">
        <f t="shared" si="63"/>
        <v>ok</v>
      </c>
      <c r="U217" s="1821">
        <v>6.9600000000000009</v>
      </c>
      <c r="V217" s="1822">
        <v>5</v>
      </c>
      <c r="W217" s="1822">
        <v>8.5</v>
      </c>
      <c r="X217" s="1822">
        <v>42.5</v>
      </c>
    </row>
    <row r="218" spans="1:24" ht="28.5">
      <c r="A218" s="1651" t="s">
        <v>1701</v>
      </c>
      <c r="B218" s="1107">
        <v>90447</v>
      </c>
      <c r="C218" s="1328" t="s">
        <v>1607</v>
      </c>
      <c r="D218" s="1389" t="s">
        <v>54</v>
      </c>
      <c r="E218" s="1105">
        <v>6.22</v>
      </c>
      <c r="F218" s="1320">
        <f>VLOOKUP(B218,'CADERNO DE COMPOSIÇÃO'!$A$8:$J$15448,10,FALSE)</f>
        <v>6.22</v>
      </c>
      <c r="G218" s="1372">
        <f t="shared" si="59"/>
        <v>13.25</v>
      </c>
      <c r="H218" s="1106">
        <v>13.25</v>
      </c>
      <c r="I218" s="1374">
        <f t="shared" si="57"/>
        <v>7.6</v>
      </c>
      <c r="J218" s="77">
        <f t="shared" si="58"/>
        <v>100.7</v>
      </c>
      <c r="K218" s="1218"/>
      <c r="L218" s="53"/>
      <c r="Q218" t="str">
        <f t="shared" si="60"/>
        <v>ok</v>
      </c>
      <c r="R218" t="str">
        <f t="shared" si="61"/>
        <v>ok</v>
      </c>
      <c r="S218" t="str">
        <f t="shared" si="62"/>
        <v>ok</v>
      </c>
      <c r="T218" t="str">
        <f t="shared" si="63"/>
        <v>ok</v>
      </c>
      <c r="U218" s="1821">
        <v>6.22</v>
      </c>
      <c r="V218" s="1822">
        <v>13.25</v>
      </c>
      <c r="W218" s="1822">
        <v>7.6</v>
      </c>
      <c r="X218" s="1822">
        <v>100.7</v>
      </c>
    </row>
    <row r="219" spans="1:24">
      <c r="A219" s="1651"/>
      <c r="B219" s="1388"/>
      <c r="C219" s="1328"/>
      <c r="D219" s="1389"/>
      <c r="E219" s="1320"/>
      <c r="F219" s="1320"/>
      <c r="G219" s="1372"/>
      <c r="H219" s="1606"/>
      <c r="I219" s="1604" t="s">
        <v>15</v>
      </c>
      <c r="J219" s="1664">
        <f>TRUNC(SUM(J169:J218),2)</f>
        <v>37805.99</v>
      </c>
      <c r="K219" s="1218"/>
      <c r="L219" s="53"/>
      <c r="Q219" t="str">
        <f t="shared" si="60"/>
        <v>ok</v>
      </c>
      <c r="R219" t="str">
        <f t="shared" si="61"/>
        <v>ok</v>
      </c>
      <c r="S219" t="str">
        <f t="shared" si="62"/>
        <v>ok</v>
      </c>
      <c r="T219" t="str">
        <f t="shared" si="63"/>
        <v>ok</v>
      </c>
      <c r="U219" s="1821"/>
      <c r="V219" s="1822"/>
      <c r="W219" s="1825" t="s">
        <v>15</v>
      </c>
      <c r="X219" s="1822">
        <v>37970.699999999997</v>
      </c>
    </row>
    <row r="220" spans="1:24" ht="13.5" customHeight="1">
      <c r="A220" s="1607" t="s">
        <v>82</v>
      </c>
      <c r="B220" s="1608"/>
      <c r="C220" s="1609" t="s">
        <v>1124</v>
      </c>
      <c r="D220" s="1608"/>
      <c r="E220" s="1610"/>
      <c r="F220" s="1610"/>
      <c r="G220" s="1611" t="str">
        <f t="shared" ref="G220:G248" si="64">IF(OR(E220&lt;=0)," ",TRUNC(H220,2))</f>
        <v xml:space="preserve"> </v>
      </c>
      <c r="H220" s="1605"/>
      <c r="I220" s="1605" t="str">
        <f>IF(OR(E220&lt;=0)," ",TRUNC((E220*(1+$J$11)),2))</f>
        <v xml:space="preserve"> </v>
      </c>
      <c r="J220" s="1612" t="str">
        <f>IF(OR(E220&lt;=0)," ",TRUNC((I220*G220),2))</f>
        <v xml:space="preserve"> </v>
      </c>
      <c r="K220" s="366"/>
      <c r="L220" s="53"/>
      <c r="Q220" t="str">
        <f t="shared" si="60"/>
        <v>ok</v>
      </c>
      <c r="R220" t="str">
        <f t="shared" si="61"/>
        <v>ok</v>
      </c>
      <c r="S220" t="str">
        <f t="shared" si="62"/>
        <v>ok</v>
      </c>
      <c r="T220" t="str">
        <f t="shared" si="63"/>
        <v>ok</v>
      </c>
      <c r="U220" s="99"/>
      <c r="V220" s="1822" t="s">
        <v>42</v>
      </c>
      <c r="W220" s="1822" t="s">
        <v>42</v>
      </c>
      <c r="X220" s="1822" t="s">
        <v>42</v>
      </c>
    </row>
    <row r="221" spans="1:24" ht="19.5" customHeight="1">
      <c r="A221" s="1651" t="s">
        <v>1280</v>
      </c>
      <c r="B221" s="1497" t="s">
        <v>499</v>
      </c>
      <c r="C221" s="1385" t="s">
        <v>500</v>
      </c>
      <c r="D221" s="1380" t="s">
        <v>55</v>
      </c>
      <c r="E221" s="1314">
        <f>K221</f>
        <v>35.230000000000004</v>
      </c>
      <c r="F221" s="1320">
        <f>VLOOKUP(B221,'CADERNO DE COMPOSIÇÃO'!$A$8:$J$15448,10,FALSE)</f>
        <v>35.08</v>
      </c>
      <c r="G221" s="1372">
        <f t="shared" si="64"/>
        <v>8</v>
      </c>
      <c r="H221" s="1381">
        <v>8</v>
      </c>
      <c r="I221" s="1374">
        <f t="shared" ref="I221:I248" si="65">TRUNC(F221*(1+$J$11),2)</f>
        <v>42.87</v>
      </c>
      <c r="J221" s="77">
        <f t="shared" ref="J221:J248" si="66">TRUNC(I221*G221,2)</f>
        <v>342.96</v>
      </c>
      <c r="K221" s="331">
        <f>'COMP ELE'!F17</f>
        <v>35.230000000000004</v>
      </c>
      <c r="L221" s="53"/>
      <c r="Q221" t="str">
        <f t="shared" si="60"/>
        <v>ok</v>
      </c>
      <c r="R221" t="str">
        <f t="shared" si="61"/>
        <v>ok</v>
      </c>
      <c r="S221" t="str">
        <f t="shared" si="62"/>
        <v>ok</v>
      </c>
      <c r="T221" t="str">
        <f t="shared" si="63"/>
        <v>ok</v>
      </c>
      <c r="U221" s="99">
        <v>35.230000000000004</v>
      </c>
      <c r="V221" s="1822">
        <v>8</v>
      </c>
      <c r="W221" s="1822">
        <v>43.06</v>
      </c>
      <c r="X221" s="1822">
        <v>344.48</v>
      </c>
    </row>
    <row r="222" spans="1:24" ht="33.75" customHeight="1">
      <c r="A222" s="1651" t="s">
        <v>1281</v>
      </c>
      <c r="B222" s="1327">
        <v>98302</v>
      </c>
      <c r="C222" s="1328" t="s">
        <v>428</v>
      </c>
      <c r="D222" s="1380" t="s">
        <v>55</v>
      </c>
      <c r="E222" s="1314">
        <v>1013.51</v>
      </c>
      <c r="F222" s="1320">
        <f>VLOOKUP(B222,'CADERNO DE COMPOSIÇÃO'!$A$8:$J$15448,10,FALSE)</f>
        <v>999.86</v>
      </c>
      <c r="G222" s="1372">
        <f t="shared" si="64"/>
        <v>3</v>
      </c>
      <c r="H222" s="1381">
        <v>3</v>
      </c>
      <c r="I222" s="1374">
        <f t="shared" si="65"/>
        <v>1222.1199999999999</v>
      </c>
      <c r="J222" s="77">
        <f t="shared" si="66"/>
        <v>3666.36</v>
      </c>
      <c r="K222" s="544"/>
      <c r="L222" s="373"/>
      <c r="M222" s="200"/>
      <c r="N222" s="200"/>
      <c r="O222" s="200"/>
      <c r="Q222" t="str">
        <f t="shared" si="60"/>
        <v>ok</v>
      </c>
      <c r="R222" t="str">
        <f t="shared" si="61"/>
        <v>ok</v>
      </c>
      <c r="S222" t="str">
        <f t="shared" si="62"/>
        <v>ok</v>
      </c>
      <c r="T222" t="str">
        <f t="shared" si="63"/>
        <v>ok</v>
      </c>
      <c r="U222" s="99">
        <v>1013.51</v>
      </c>
      <c r="V222" s="1822">
        <v>3</v>
      </c>
      <c r="W222" s="1822">
        <v>1238.81</v>
      </c>
      <c r="X222" s="1822">
        <v>3716.43</v>
      </c>
    </row>
    <row r="223" spans="1:24" ht="21" customHeight="1">
      <c r="A223" s="1651" t="s">
        <v>1282</v>
      </c>
      <c r="B223" s="1497" t="s">
        <v>506</v>
      </c>
      <c r="C223" s="1328" t="s">
        <v>1531</v>
      </c>
      <c r="D223" s="1380" t="s">
        <v>55</v>
      </c>
      <c r="E223" s="1314">
        <f>K223</f>
        <v>57.93</v>
      </c>
      <c r="F223" s="1320">
        <f>VLOOKUP(B223,'CADERNO DE COMPOSIÇÃO'!$A$8:$J$15448,10,FALSE)</f>
        <v>57.660000000000004</v>
      </c>
      <c r="G223" s="1372">
        <f t="shared" si="64"/>
        <v>1</v>
      </c>
      <c r="H223" s="1381">
        <v>1</v>
      </c>
      <c r="I223" s="1374">
        <f t="shared" si="65"/>
        <v>70.47</v>
      </c>
      <c r="J223" s="77">
        <f t="shared" si="66"/>
        <v>70.47</v>
      </c>
      <c r="K223" s="544">
        <f>'COMP ELE'!F60</f>
        <v>57.93</v>
      </c>
      <c r="L223" s="373"/>
      <c r="M223" s="200"/>
      <c r="N223" s="200"/>
      <c r="O223" s="200"/>
      <c r="Q223" t="str">
        <f t="shared" si="60"/>
        <v>ok</v>
      </c>
      <c r="R223" t="str">
        <f t="shared" si="61"/>
        <v>ok</v>
      </c>
      <c r="S223" t="str">
        <f t="shared" si="62"/>
        <v>ok</v>
      </c>
      <c r="T223" t="str">
        <f t="shared" si="63"/>
        <v>ok</v>
      </c>
      <c r="U223" s="99">
        <v>57.93</v>
      </c>
      <c r="V223" s="1822">
        <v>1</v>
      </c>
      <c r="W223" s="1822">
        <v>70.8</v>
      </c>
      <c r="X223" s="1822">
        <v>70.8</v>
      </c>
    </row>
    <row r="224" spans="1:24" ht="21" customHeight="1">
      <c r="A224" s="1651" t="s">
        <v>1283</v>
      </c>
      <c r="B224" s="1498" t="s">
        <v>503</v>
      </c>
      <c r="C224" s="1328" t="s">
        <v>1532</v>
      </c>
      <c r="D224" s="1380" t="s">
        <v>55</v>
      </c>
      <c r="E224" s="1314">
        <f>K224</f>
        <v>163.60999999999999</v>
      </c>
      <c r="F224" s="1320">
        <f>VLOOKUP(B224,'CADERNO DE COMPOSIÇÃO'!$A$8:$J$15448,10,FALSE)</f>
        <v>162.79999999999998</v>
      </c>
      <c r="G224" s="1372">
        <f t="shared" si="64"/>
        <v>1</v>
      </c>
      <c r="H224" s="1381">
        <v>1</v>
      </c>
      <c r="I224" s="1374">
        <f t="shared" si="65"/>
        <v>198.99</v>
      </c>
      <c r="J224" s="77">
        <f t="shared" si="66"/>
        <v>198.99</v>
      </c>
      <c r="K224" s="544">
        <f>'COMP ELE'!F44</f>
        <v>163.60999999999999</v>
      </c>
      <c r="L224" s="373"/>
      <c r="M224" s="200"/>
      <c r="N224" s="200"/>
      <c r="O224" s="200"/>
      <c r="Q224" t="str">
        <f t="shared" si="60"/>
        <v>ok</v>
      </c>
      <c r="R224" t="str">
        <f t="shared" si="61"/>
        <v>ok</v>
      </c>
      <c r="S224" t="str">
        <f t="shared" si="62"/>
        <v>ok</v>
      </c>
      <c r="T224" t="str">
        <f t="shared" si="63"/>
        <v>ok</v>
      </c>
      <c r="U224" s="99">
        <v>163.60999999999999</v>
      </c>
      <c r="V224" s="1822">
        <v>1</v>
      </c>
      <c r="W224" s="1822">
        <v>199.98</v>
      </c>
      <c r="X224" s="1822">
        <v>199.98</v>
      </c>
    </row>
    <row r="225" spans="1:24" ht="17.25" customHeight="1">
      <c r="A225" s="1651" t="s">
        <v>1284</v>
      </c>
      <c r="B225" s="1596" t="s">
        <v>502</v>
      </c>
      <c r="C225" s="1595" t="s">
        <v>2439</v>
      </c>
      <c r="D225" s="1380" t="s">
        <v>55</v>
      </c>
      <c r="E225" s="1314">
        <f>K225</f>
        <v>49.209999999999994</v>
      </c>
      <c r="F225" s="1320">
        <f>VLOOKUP(B225,'CADERNO DE COMPOSIÇÃO'!$A$8:$J$15448,10,FALSE)</f>
        <v>49</v>
      </c>
      <c r="G225" s="1372">
        <f t="shared" si="64"/>
        <v>3</v>
      </c>
      <c r="H225" s="512">
        <v>3</v>
      </c>
      <c r="I225" s="1374">
        <f t="shared" si="65"/>
        <v>59.89</v>
      </c>
      <c r="J225" s="77">
        <f t="shared" si="66"/>
        <v>179.67</v>
      </c>
      <c r="K225" s="544">
        <f>'COMP ELE'!F28</f>
        <v>49.209999999999994</v>
      </c>
      <c r="L225" s="1908"/>
      <c r="M225" s="1908"/>
      <c r="N225" s="200"/>
      <c r="O225" s="200"/>
      <c r="Q225" t="str">
        <f t="shared" si="60"/>
        <v>ok</v>
      </c>
      <c r="R225" t="str">
        <f t="shared" si="61"/>
        <v>ok</v>
      </c>
      <c r="S225" t="str">
        <f t="shared" si="62"/>
        <v>ok</v>
      </c>
      <c r="T225" t="str">
        <f t="shared" si="63"/>
        <v>ok</v>
      </c>
      <c r="U225" s="99">
        <v>49.209999999999994</v>
      </c>
      <c r="V225" s="1822">
        <v>3</v>
      </c>
      <c r="W225" s="1822">
        <v>60.14</v>
      </c>
      <c r="X225" s="1822">
        <v>180.42</v>
      </c>
    </row>
    <row r="226" spans="1:24" ht="18" customHeight="1">
      <c r="A226" s="1651" t="s">
        <v>1285</v>
      </c>
      <c r="B226" s="1497" t="s">
        <v>508</v>
      </c>
      <c r="C226" s="1328" t="s">
        <v>2187</v>
      </c>
      <c r="D226" s="1380" t="s">
        <v>55</v>
      </c>
      <c r="E226" s="1314">
        <f>K226</f>
        <v>2150.85</v>
      </c>
      <c r="F226" s="1320">
        <f>VLOOKUP(B226,'CADERNO DE COMPOSIÇÃO'!$A$8:$J$15448,10,FALSE)</f>
        <v>2140.11</v>
      </c>
      <c r="G226" s="1372">
        <f t="shared" si="64"/>
        <v>1</v>
      </c>
      <c r="H226" s="1381">
        <v>1</v>
      </c>
      <c r="I226" s="1374">
        <f t="shared" si="65"/>
        <v>2615.85</v>
      </c>
      <c r="J226" s="77">
        <f t="shared" si="66"/>
        <v>2615.85</v>
      </c>
      <c r="K226" s="331">
        <f>'COMP ELE'!F77</f>
        <v>2150.85</v>
      </c>
      <c r="L226" s="373"/>
      <c r="M226" s="200"/>
      <c r="N226" s="200"/>
      <c r="O226" s="200"/>
      <c r="Q226" t="str">
        <f t="shared" si="60"/>
        <v>ok</v>
      </c>
      <c r="R226" t="str">
        <f t="shared" si="61"/>
        <v>ok</v>
      </c>
      <c r="S226" t="str">
        <f t="shared" si="62"/>
        <v>ok</v>
      </c>
      <c r="T226" t="str">
        <f t="shared" si="63"/>
        <v>ok</v>
      </c>
      <c r="U226" s="99">
        <v>2150.85</v>
      </c>
      <c r="V226" s="1822">
        <v>1</v>
      </c>
      <c r="W226" s="1822">
        <v>2628.98</v>
      </c>
      <c r="X226" s="1822">
        <v>2628.98</v>
      </c>
    </row>
    <row r="227" spans="1:24" ht="27.75" customHeight="1">
      <c r="A227" s="1651" t="s">
        <v>1286</v>
      </c>
      <c r="B227" s="1497" t="s">
        <v>518</v>
      </c>
      <c r="C227" s="1328" t="s">
        <v>2188</v>
      </c>
      <c r="D227" s="1380" t="s">
        <v>55</v>
      </c>
      <c r="E227" s="1314">
        <f>K227</f>
        <v>178.37</v>
      </c>
      <c r="F227" s="1320">
        <f>VLOOKUP(B227,'CADERNO DE COMPOSIÇÃO'!$A$8:$J$15448,10,FALSE)</f>
        <v>177.48</v>
      </c>
      <c r="G227" s="1372">
        <f t="shared" si="64"/>
        <v>1</v>
      </c>
      <c r="H227" s="1381">
        <v>1</v>
      </c>
      <c r="I227" s="1374">
        <f t="shared" si="65"/>
        <v>216.93</v>
      </c>
      <c r="J227" s="77">
        <f t="shared" si="66"/>
        <v>216.93</v>
      </c>
      <c r="K227" s="331">
        <f>'COMP ELE'!F148</f>
        <v>178.37</v>
      </c>
      <c r="L227" s="373"/>
      <c r="M227" s="200"/>
      <c r="N227" s="200"/>
      <c r="O227" s="200"/>
      <c r="Q227" t="str">
        <f t="shared" si="60"/>
        <v>ok</v>
      </c>
      <c r="R227" t="str">
        <f t="shared" si="61"/>
        <v>ok</v>
      </c>
      <c r="S227" t="str">
        <f t="shared" si="62"/>
        <v>ok</v>
      </c>
      <c r="T227" t="str">
        <f t="shared" si="63"/>
        <v>ok</v>
      </c>
      <c r="U227" s="99">
        <v>178.37</v>
      </c>
      <c r="V227" s="1822">
        <v>1</v>
      </c>
      <c r="W227" s="1822">
        <v>218.02</v>
      </c>
      <c r="X227" s="1822">
        <v>218.02</v>
      </c>
    </row>
    <row r="228" spans="1:24" ht="30.75" customHeight="1">
      <c r="A228" s="1651" t="s">
        <v>1287</v>
      </c>
      <c r="B228" s="1327">
        <v>91941</v>
      </c>
      <c r="C228" s="1328" t="s">
        <v>429</v>
      </c>
      <c r="D228" s="1380" t="s">
        <v>55</v>
      </c>
      <c r="E228" s="1314">
        <v>9.8800000000000008</v>
      </c>
      <c r="F228" s="1320">
        <f>VLOOKUP(B228,'CADERNO DE COMPOSIÇÃO'!$A$8:$J$15448,10,FALSE)</f>
        <v>9.8600000000000012</v>
      </c>
      <c r="G228" s="1372">
        <f t="shared" si="64"/>
        <v>5</v>
      </c>
      <c r="H228" s="1381">
        <v>5</v>
      </c>
      <c r="I228" s="1374">
        <f t="shared" si="65"/>
        <v>12.05</v>
      </c>
      <c r="J228" s="77">
        <f t="shared" si="66"/>
        <v>60.25</v>
      </c>
      <c r="K228" s="332"/>
      <c r="L228" s="307"/>
      <c r="Q228" t="str">
        <f t="shared" si="60"/>
        <v>ok</v>
      </c>
      <c r="R228" t="str">
        <f t="shared" si="61"/>
        <v>ok</v>
      </c>
      <c r="S228" t="str">
        <f t="shared" si="62"/>
        <v>ok</v>
      </c>
      <c r="T228" t="str">
        <f t="shared" si="63"/>
        <v>ok</v>
      </c>
      <c r="U228" s="99">
        <v>9.8800000000000008</v>
      </c>
      <c r="V228" s="1822">
        <v>5</v>
      </c>
      <c r="W228" s="1822">
        <v>12.07</v>
      </c>
      <c r="X228" s="1822">
        <v>60.35</v>
      </c>
    </row>
    <row r="229" spans="1:24" ht="30" customHeight="1">
      <c r="A229" s="1651" t="s">
        <v>1702</v>
      </c>
      <c r="B229" s="1318">
        <v>91939</v>
      </c>
      <c r="C229" s="1597" t="s">
        <v>175</v>
      </c>
      <c r="D229" s="1380" t="s">
        <v>55</v>
      </c>
      <c r="E229" s="1314">
        <v>27.28</v>
      </c>
      <c r="F229" s="1320">
        <f>VLOOKUP(B229,'CADERNO DE COMPOSIÇÃO'!$A$8:$J$15448,10,FALSE)</f>
        <v>27.26</v>
      </c>
      <c r="G229" s="1372">
        <f t="shared" si="64"/>
        <v>1</v>
      </c>
      <c r="H229" s="1381">
        <v>1</v>
      </c>
      <c r="I229" s="1374">
        <f t="shared" si="65"/>
        <v>33.31</v>
      </c>
      <c r="J229" s="77">
        <f t="shared" si="66"/>
        <v>33.31</v>
      </c>
      <c r="K229" s="332"/>
      <c r="L229" s="53"/>
      <c r="Q229" t="str">
        <f t="shared" si="60"/>
        <v>ok</v>
      </c>
      <c r="R229" t="str">
        <f t="shared" si="61"/>
        <v>ok</v>
      </c>
      <c r="S229" t="str">
        <f t="shared" si="62"/>
        <v>ok</v>
      </c>
      <c r="T229" t="str">
        <f t="shared" si="63"/>
        <v>ok</v>
      </c>
      <c r="U229" s="99">
        <v>27.28</v>
      </c>
      <c r="V229" s="1822">
        <v>1</v>
      </c>
      <c r="W229" s="1822">
        <v>33.340000000000003</v>
      </c>
      <c r="X229" s="1822">
        <v>33.340000000000003</v>
      </c>
    </row>
    <row r="230" spans="1:24" ht="33" customHeight="1">
      <c r="A230" s="1651" t="s">
        <v>1288</v>
      </c>
      <c r="B230" s="1498" t="s">
        <v>527</v>
      </c>
      <c r="C230" s="1328" t="s">
        <v>1541</v>
      </c>
      <c r="D230" s="1380" t="s">
        <v>55</v>
      </c>
      <c r="E230" s="1314">
        <f>K230</f>
        <v>264.77999999999997</v>
      </c>
      <c r="F230" s="1320">
        <f>VLOOKUP(B230,'CADERNO DE COMPOSIÇÃO'!$A$8:$J$15448,10,FALSE)</f>
        <v>263.55</v>
      </c>
      <c r="G230" s="1372">
        <f t="shared" si="64"/>
        <v>1</v>
      </c>
      <c r="H230" s="1381">
        <v>1</v>
      </c>
      <c r="I230" s="1374">
        <f t="shared" si="65"/>
        <v>322.13</v>
      </c>
      <c r="J230" s="77">
        <f t="shared" si="66"/>
        <v>322.13</v>
      </c>
      <c r="K230" s="332">
        <f>'COMP ELE'!F223</f>
        <v>264.77999999999997</v>
      </c>
      <c r="L230" s="53"/>
      <c r="Q230" t="str">
        <f t="shared" si="60"/>
        <v>ok</v>
      </c>
      <c r="R230" t="str">
        <f t="shared" si="61"/>
        <v>ok</v>
      </c>
      <c r="S230" t="str">
        <f t="shared" si="62"/>
        <v>ok</v>
      </c>
      <c r="T230" t="str">
        <f t="shared" si="63"/>
        <v>ok</v>
      </c>
      <c r="U230" s="99">
        <v>264.77999999999997</v>
      </c>
      <c r="V230" s="1822">
        <v>1</v>
      </c>
      <c r="W230" s="1822">
        <v>323.64</v>
      </c>
      <c r="X230" s="1822">
        <v>323.64</v>
      </c>
    </row>
    <row r="231" spans="1:24" ht="31.5" customHeight="1">
      <c r="A231" s="1651" t="s">
        <v>1289</v>
      </c>
      <c r="B231" s="1497" t="s">
        <v>534</v>
      </c>
      <c r="C231" s="1328" t="s">
        <v>1542</v>
      </c>
      <c r="D231" s="180" t="s">
        <v>54</v>
      </c>
      <c r="E231" s="1314">
        <f>K231</f>
        <v>58.14</v>
      </c>
      <c r="F231" s="1320">
        <f>VLOOKUP(B231,'CADERNO DE COMPOSIÇÃO'!$A$8:$J$15448,10,FALSE)</f>
        <v>57.92</v>
      </c>
      <c r="G231" s="1372">
        <f t="shared" si="64"/>
        <v>1</v>
      </c>
      <c r="H231" s="1381">
        <v>1</v>
      </c>
      <c r="I231" s="1374">
        <f t="shared" si="65"/>
        <v>70.790000000000006</v>
      </c>
      <c r="J231" s="77">
        <f t="shared" si="66"/>
        <v>70.790000000000006</v>
      </c>
      <c r="K231" s="332">
        <f>'COMP ELE'!F234</f>
        <v>58.14</v>
      </c>
      <c r="L231" s="486" t="s">
        <v>1551</v>
      </c>
      <c r="Q231" t="str">
        <f t="shared" si="60"/>
        <v>ok</v>
      </c>
      <c r="R231" t="str">
        <f t="shared" si="61"/>
        <v>ok</v>
      </c>
      <c r="S231" t="str">
        <f t="shared" si="62"/>
        <v>ok</v>
      </c>
      <c r="T231" t="str">
        <f t="shared" si="63"/>
        <v>ok</v>
      </c>
      <c r="U231" s="99">
        <v>58.14</v>
      </c>
      <c r="V231" s="1822">
        <v>1</v>
      </c>
      <c r="W231" s="1822">
        <v>71.06</v>
      </c>
      <c r="X231" s="1822">
        <v>71.06</v>
      </c>
    </row>
    <row r="232" spans="1:24" ht="30.75" customHeight="1">
      <c r="A232" s="1651" t="s">
        <v>1290</v>
      </c>
      <c r="B232" s="1497" t="s">
        <v>536</v>
      </c>
      <c r="C232" s="1328" t="s">
        <v>1543</v>
      </c>
      <c r="D232" s="180" t="s">
        <v>54</v>
      </c>
      <c r="E232" s="1314">
        <f>K232</f>
        <v>148.94</v>
      </c>
      <c r="F232" s="1320">
        <f>VLOOKUP(B232,'CADERNO DE COMPOSIÇÃO'!$A$8:$J$15448,10,FALSE)</f>
        <v>148.26</v>
      </c>
      <c r="G232" s="1372">
        <f t="shared" si="64"/>
        <v>2</v>
      </c>
      <c r="H232" s="1381">
        <v>2</v>
      </c>
      <c r="I232" s="1374">
        <f t="shared" si="65"/>
        <v>181.21</v>
      </c>
      <c r="J232" s="77">
        <f t="shared" si="66"/>
        <v>362.42</v>
      </c>
      <c r="K232" s="332">
        <f>'COMP ELE'!F245</f>
        <v>148.94</v>
      </c>
      <c r="L232" s="485" t="s">
        <v>1561</v>
      </c>
      <c r="Q232" t="str">
        <f t="shared" si="60"/>
        <v>ok</v>
      </c>
      <c r="R232" t="str">
        <f t="shared" si="61"/>
        <v>ok</v>
      </c>
      <c r="S232" t="str">
        <f t="shared" si="62"/>
        <v>ok</v>
      </c>
      <c r="T232" t="str">
        <f t="shared" si="63"/>
        <v>ok</v>
      </c>
      <c r="U232" s="99">
        <v>148.94</v>
      </c>
      <c r="V232" s="1822">
        <v>2</v>
      </c>
      <c r="W232" s="1822">
        <v>182.04</v>
      </c>
      <c r="X232" s="1822">
        <v>364.08</v>
      </c>
    </row>
    <row r="233" spans="1:24" ht="34.5" customHeight="1">
      <c r="A233" s="1651" t="s">
        <v>1291</v>
      </c>
      <c r="B233" s="1327">
        <v>98295</v>
      </c>
      <c r="C233" s="1328" t="s">
        <v>1550</v>
      </c>
      <c r="D233" s="1380" t="s">
        <v>55</v>
      </c>
      <c r="E233" s="1314">
        <v>5.0599999999999996</v>
      </c>
      <c r="F233" s="1320">
        <f>VLOOKUP(B233,'CADERNO DE COMPOSIÇÃO'!$A$8:$J$15448,10,FALSE)</f>
        <v>5.03</v>
      </c>
      <c r="G233" s="1372">
        <f t="shared" si="64"/>
        <v>570.70000000000005</v>
      </c>
      <c r="H233" s="1381">
        <v>570.70000000000005</v>
      </c>
      <c r="I233" s="1374">
        <f t="shared" si="65"/>
        <v>6.14</v>
      </c>
      <c r="J233" s="77">
        <f t="shared" si="66"/>
        <v>3504.09</v>
      </c>
      <c r="K233" s="332"/>
      <c r="L233" s="53"/>
      <c r="Q233" t="str">
        <f t="shared" si="60"/>
        <v>ok</v>
      </c>
      <c r="R233" t="str">
        <f t="shared" si="61"/>
        <v>ok</v>
      </c>
      <c r="S233" t="str">
        <f t="shared" si="62"/>
        <v>ok</v>
      </c>
      <c r="T233" t="str">
        <f t="shared" si="63"/>
        <v>ok</v>
      </c>
      <c r="U233" s="99">
        <v>5.0599999999999996</v>
      </c>
      <c r="V233" s="1822">
        <v>570.70000000000005</v>
      </c>
      <c r="W233" s="1822">
        <v>6.18</v>
      </c>
      <c r="X233" s="1822">
        <v>3526.92</v>
      </c>
    </row>
    <row r="234" spans="1:24" ht="22.5" customHeight="1">
      <c r="A234" s="1651" t="s">
        <v>1534</v>
      </c>
      <c r="B234" s="1498" t="s">
        <v>2159</v>
      </c>
      <c r="C234" s="1328" t="s">
        <v>1560</v>
      </c>
      <c r="D234" s="1380" t="s">
        <v>55</v>
      </c>
      <c r="E234" s="1314">
        <f>K234</f>
        <v>10.16</v>
      </c>
      <c r="F234" s="1320">
        <f>VLOOKUP(B234,'CADERNO DE COMPOSIÇÃO'!$A$8:$J$15448,10,FALSE)</f>
        <v>10.14</v>
      </c>
      <c r="G234" s="1372">
        <f t="shared" si="64"/>
        <v>84</v>
      </c>
      <c r="H234" s="1381">
        <v>84</v>
      </c>
      <c r="I234" s="1374">
        <f t="shared" si="65"/>
        <v>12.39</v>
      </c>
      <c r="J234" s="77">
        <f t="shared" si="66"/>
        <v>1040.76</v>
      </c>
      <c r="K234" s="332">
        <f>'COMP ELE'!F517</f>
        <v>10.16</v>
      </c>
      <c r="L234" s="53"/>
      <c r="Q234" t="str">
        <f t="shared" si="60"/>
        <v>ok</v>
      </c>
      <c r="R234" t="str">
        <f t="shared" si="61"/>
        <v>ok</v>
      </c>
      <c r="S234" t="str">
        <f t="shared" si="62"/>
        <v>ok</v>
      </c>
      <c r="T234" t="str">
        <f t="shared" si="63"/>
        <v>ok</v>
      </c>
      <c r="U234" s="99">
        <v>10.16</v>
      </c>
      <c r="V234" s="1822">
        <v>84</v>
      </c>
      <c r="W234" s="1822">
        <v>12.41</v>
      </c>
      <c r="X234" s="1822">
        <v>1042.44</v>
      </c>
    </row>
    <row r="235" spans="1:24" ht="21.75" customHeight="1">
      <c r="A235" s="1651" t="s">
        <v>1535</v>
      </c>
      <c r="B235" s="1498" t="s">
        <v>521</v>
      </c>
      <c r="C235" s="1328" t="s">
        <v>1558</v>
      </c>
      <c r="D235" s="1380" t="s">
        <v>55</v>
      </c>
      <c r="E235" s="1314">
        <f>K235</f>
        <v>237.93</v>
      </c>
      <c r="F235" s="1320">
        <f>VLOOKUP(B235,'CADERNO DE COMPOSIÇÃO'!$A$8:$J$15448,10,FALSE)</f>
        <v>236.76000000000002</v>
      </c>
      <c r="G235" s="1372">
        <f t="shared" si="64"/>
        <v>3</v>
      </c>
      <c r="H235" s="1381">
        <v>3</v>
      </c>
      <c r="I235" s="1374">
        <f t="shared" si="65"/>
        <v>289.39</v>
      </c>
      <c r="J235" s="77">
        <f t="shared" si="66"/>
        <v>868.17</v>
      </c>
      <c r="K235" s="332">
        <f>'COMP ELE'!F177</f>
        <v>237.93</v>
      </c>
      <c r="L235" s="53"/>
      <c r="Q235" t="str">
        <f t="shared" si="60"/>
        <v>ok</v>
      </c>
      <c r="R235" t="str">
        <f t="shared" si="61"/>
        <v>ok</v>
      </c>
      <c r="S235" t="str">
        <f t="shared" si="62"/>
        <v>ok</v>
      </c>
      <c r="T235" t="str">
        <f t="shared" si="63"/>
        <v>ok</v>
      </c>
      <c r="U235" s="99">
        <v>237.93</v>
      </c>
      <c r="V235" s="1822">
        <v>3</v>
      </c>
      <c r="W235" s="1822">
        <v>290.82</v>
      </c>
      <c r="X235" s="1822">
        <v>872.46</v>
      </c>
    </row>
    <row r="236" spans="1:24" ht="21.75" customHeight="1">
      <c r="A236" s="1651" t="s">
        <v>1536</v>
      </c>
      <c r="B236" s="1497" t="s">
        <v>1548</v>
      </c>
      <c r="C236" s="1328" t="s">
        <v>2429</v>
      </c>
      <c r="D236" s="1380" t="s">
        <v>55</v>
      </c>
      <c r="E236" s="1314">
        <f>K236</f>
        <v>10.71</v>
      </c>
      <c r="F236" s="1320">
        <f>VLOOKUP(B236,'CADERNO DE COMPOSIÇÃO'!$A$8:$J$15448,10,FALSE)</f>
        <v>10.700000000000001</v>
      </c>
      <c r="G236" s="1372">
        <f t="shared" si="64"/>
        <v>59</v>
      </c>
      <c r="H236" s="1381">
        <v>59</v>
      </c>
      <c r="I236" s="1374">
        <f t="shared" si="65"/>
        <v>13.07</v>
      </c>
      <c r="J236" s="77">
        <f t="shared" si="66"/>
        <v>771.13</v>
      </c>
      <c r="K236" s="332">
        <f>'COMP ELE'!F256</f>
        <v>10.71</v>
      </c>
      <c r="L236" s="53"/>
      <c r="Q236" t="str">
        <f t="shared" si="60"/>
        <v>ok</v>
      </c>
      <c r="R236" t="str">
        <f t="shared" si="61"/>
        <v>ok</v>
      </c>
      <c r="S236" t="str">
        <f t="shared" si="62"/>
        <v>ok</v>
      </c>
      <c r="T236" t="str">
        <f t="shared" si="63"/>
        <v>ok</v>
      </c>
      <c r="U236" s="99">
        <v>10.71</v>
      </c>
      <c r="V236" s="1822">
        <v>59</v>
      </c>
      <c r="W236" s="1822">
        <v>13.09</v>
      </c>
      <c r="X236" s="1822">
        <v>772.31</v>
      </c>
    </row>
    <row r="237" spans="1:24" ht="16.5" customHeight="1">
      <c r="A237" s="1651" t="s">
        <v>1537</v>
      </c>
      <c r="B237" s="1820" t="s">
        <v>2157</v>
      </c>
      <c r="C237" s="1328" t="s">
        <v>1562</v>
      </c>
      <c r="D237" s="1380" t="s">
        <v>55</v>
      </c>
      <c r="E237" s="1314">
        <f>K237</f>
        <v>6087.5</v>
      </c>
      <c r="F237" s="1320">
        <f>VLOOKUP(B237,'CADERNO DE COMPOSIÇÃO'!$A$8:$J$15448,10,FALSE)</f>
        <v>6070.43</v>
      </c>
      <c r="G237" s="1372">
        <f t="shared" si="64"/>
        <v>1</v>
      </c>
      <c r="H237" s="1381">
        <v>1</v>
      </c>
      <c r="I237" s="1374">
        <f t="shared" si="65"/>
        <v>7419.88</v>
      </c>
      <c r="J237" s="77">
        <f t="shared" si="66"/>
        <v>7419.88</v>
      </c>
      <c r="K237" s="332">
        <f>'COMP ELE'!F500</f>
        <v>6087.5</v>
      </c>
      <c r="L237" s="53"/>
      <c r="Q237" t="str">
        <f t="shared" si="60"/>
        <v>ok</v>
      </c>
      <c r="R237" t="str">
        <f t="shared" si="61"/>
        <v>ok</v>
      </c>
      <c r="S237" t="str">
        <f t="shared" si="62"/>
        <v>ok</v>
      </c>
      <c r="T237" t="str">
        <f t="shared" si="63"/>
        <v>ok</v>
      </c>
      <c r="U237" s="99">
        <v>6087.5</v>
      </c>
      <c r="V237" s="1822">
        <v>1</v>
      </c>
      <c r="W237" s="1822">
        <v>7440.75</v>
      </c>
      <c r="X237" s="1822">
        <v>7440.75</v>
      </c>
    </row>
    <row r="238" spans="1:24" ht="16.5" customHeight="1">
      <c r="A238" s="1651" t="s">
        <v>1538</v>
      </c>
      <c r="B238" s="1327">
        <v>98307</v>
      </c>
      <c r="C238" s="1598" t="s">
        <v>1556</v>
      </c>
      <c r="D238" s="1380" t="s">
        <v>55</v>
      </c>
      <c r="E238" s="1314">
        <v>42.26</v>
      </c>
      <c r="F238" s="1320">
        <f>VLOOKUP(B238,'CADERNO DE COMPOSIÇÃO'!$A$8:$J$15448,10,FALSE)</f>
        <v>42.089999999999996</v>
      </c>
      <c r="G238" s="1372">
        <f t="shared" si="64"/>
        <v>22</v>
      </c>
      <c r="H238" s="1381">
        <v>22</v>
      </c>
      <c r="I238" s="1374">
        <f t="shared" si="65"/>
        <v>51.44</v>
      </c>
      <c r="J238" s="77">
        <f t="shared" si="66"/>
        <v>1131.68</v>
      </c>
      <c r="K238" s="544"/>
      <c r="L238" s="53"/>
      <c r="Q238" t="str">
        <f t="shared" si="60"/>
        <v>ok</v>
      </c>
      <c r="R238" t="str">
        <f t="shared" si="61"/>
        <v>ok</v>
      </c>
      <c r="S238" t="str">
        <f t="shared" si="62"/>
        <v>ok</v>
      </c>
      <c r="T238" t="str">
        <f t="shared" si="63"/>
        <v>ok</v>
      </c>
      <c r="U238" s="99">
        <v>42.26</v>
      </c>
      <c r="V238" s="1822">
        <v>22</v>
      </c>
      <c r="W238" s="1822">
        <v>51.65</v>
      </c>
      <c r="X238" s="1822">
        <v>1136.3</v>
      </c>
    </row>
    <row r="239" spans="1:24" ht="35.25" customHeight="1">
      <c r="A239" s="1651" t="s">
        <v>1539</v>
      </c>
      <c r="B239" s="1327">
        <v>95781</v>
      </c>
      <c r="C239" s="1328" t="s">
        <v>1553</v>
      </c>
      <c r="D239" s="1380" t="s">
        <v>55</v>
      </c>
      <c r="E239" s="1314">
        <v>31.7</v>
      </c>
      <c r="F239" s="1320">
        <f>VLOOKUP(B239,'CADERNO DE COMPOSIÇÃO'!$A$8:$J$15448,10,FALSE)</f>
        <v>31.59</v>
      </c>
      <c r="G239" s="1372">
        <f t="shared" si="64"/>
        <v>22</v>
      </c>
      <c r="H239" s="1381">
        <v>22</v>
      </c>
      <c r="I239" s="1374">
        <f t="shared" si="65"/>
        <v>38.61</v>
      </c>
      <c r="J239" s="77">
        <f t="shared" si="66"/>
        <v>849.42</v>
      </c>
      <c r="K239" s="544"/>
      <c r="L239" s="53"/>
      <c r="Q239" t="str">
        <f t="shared" si="60"/>
        <v>ok</v>
      </c>
      <c r="R239" t="str">
        <f t="shared" si="61"/>
        <v>ok</v>
      </c>
      <c r="S239" t="str">
        <f t="shared" si="62"/>
        <v>ok</v>
      </c>
      <c r="T239" t="str">
        <f t="shared" si="63"/>
        <v>ok</v>
      </c>
      <c r="U239" s="99">
        <v>31.7</v>
      </c>
      <c r="V239" s="1822">
        <v>22</v>
      </c>
      <c r="W239" s="1822">
        <v>38.74</v>
      </c>
      <c r="X239" s="1822">
        <v>852.28</v>
      </c>
    </row>
    <row r="240" spans="1:24" ht="19.5" customHeight="1">
      <c r="A240" s="1651" t="s">
        <v>1540</v>
      </c>
      <c r="B240" s="1497" t="s">
        <v>511</v>
      </c>
      <c r="C240" s="1328" t="s">
        <v>509</v>
      </c>
      <c r="D240" s="180" t="s">
        <v>54</v>
      </c>
      <c r="E240" s="1314">
        <f>K240</f>
        <v>51.379999999999995</v>
      </c>
      <c r="F240" s="1320">
        <f>VLOOKUP(B240,'CADERNO DE COMPOSIÇÃO'!$A$8:$J$15448,10,FALSE)</f>
        <v>51.230000000000004</v>
      </c>
      <c r="G240" s="1372">
        <f t="shared" si="64"/>
        <v>2</v>
      </c>
      <c r="H240" s="1381">
        <v>2</v>
      </c>
      <c r="I240" s="1374">
        <f t="shared" si="65"/>
        <v>62.61</v>
      </c>
      <c r="J240" s="77">
        <f t="shared" si="66"/>
        <v>125.22</v>
      </c>
      <c r="K240" s="544">
        <f>'COMP ELE'!F94</f>
        <v>51.379999999999995</v>
      </c>
      <c r="L240" s="374"/>
      <c r="Q240" t="str">
        <f t="shared" si="60"/>
        <v>ok</v>
      </c>
      <c r="R240" t="str">
        <f t="shared" si="61"/>
        <v>ok</v>
      </c>
      <c r="S240" t="str">
        <f t="shared" si="62"/>
        <v>ok</v>
      </c>
      <c r="T240" t="str">
        <f t="shared" si="63"/>
        <v>ok</v>
      </c>
      <c r="U240" s="99">
        <v>51.379999999999995</v>
      </c>
      <c r="V240" s="1822">
        <v>2</v>
      </c>
      <c r="W240" s="1822">
        <v>62.8</v>
      </c>
      <c r="X240" s="1822">
        <v>125.6</v>
      </c>
    </row>
    <row r="241" spans="1:24" ht="20.25" customHeight="1">
      <c r="A241" s="1651" t="s">
        <v>1703</v>
      </c>
      <c r="B241" s="1498" t="s">
        <v>513</v>
      </c>
      <c r="C241" s="1328" t="s">
        <v>512</v>
      </c>
      <c r="D241" s="1390" t="s">
        <v>54</v>
      </c>
      <c r="E241" s="1314">
        <f>K241</f>
        <v>54.92</v>
      </c>
      <c r="F241" s="1320">
        <f>VLOOKUP(B241,'CADERNO DE COMPOSIÇÃO'!$A$8:$J$15448,10,FALSE)</f>
        <v>54.75</v>
      </c>
      <c r="G241" s="1372">
        <f t="shared" si="64"/>
        <v>3</v>
      </c>
      <c r="H241" s="1381">
        <v>3</v>
      </c>
      <c r="I241" s="1374">
        <f t="shared" si="65"/>
        <v>66.92</v>
      </c>
      <c r="J241" s="77">
        <f t="shared" si="66"/>
        <v>200.76</v>
      </c>
      <c r="K241" s="544">
        <f>'COMP ELE'!F111</f>
        <v>54.92</v>
      </c>
      <c r="L241" s="374"/>
      <c r="Q241" t="str">
        <f t="shared" si="60"/>
        <v>ok</v>
      </c>
      <c r="R241" t="str">
        <f t="shared" si="61"/>
        <v>ok</v>
      </c>
      <c r="S241" t="str">
        <f t="shared" si="62"/>
        <v>ok</v>
      </c>
      <c r="T241" t="str">
        <f t="shared" si="63"/>
        <v>ok</v>
      </c>
      <c r="U241" s="99">
        <v>54.92</v>
      </c>
      <c r="V241" s="1822">
        <v>3</v>
      </c>
      <c r="W241" s="1822">
        <v>67.12</v>
      </c>
      <c r="X241" s="1822">
        <v>201.36</v>
      </c>
    </row>
    <row r="242" spans="1:24" ht="33" customHeight="1">
      <c r="A242" s="1651" t="s">
        <v>1704</v>
      </c>
      <c r="B242" s="1613">
        <v>91846</v>
      </c>
      <c r="C242" s="1595" t="s">
        <v>430</v>
      </c>
      <c r="D242" s="180" t="s">
        <v>54</v>
      </c>
      <c r="E242" s="1314">
        <v>9.8000000000000007</v>
      </c>
      <c r="F242" s="1320">
        <f>VLOOKUP(B242,'CADERNO DE COMPOSIÇÃO'!$A$8:$J$15448,10,FALSE)</f>
        <v>9.77</v>
      </c>
      <c r="G242" s="1369">
        <f t="shared" si="64"/>
        <v>40.4</v>
      </c>
      <c r="H242" s="1381">
        <v>40.4</v>
      </c>
      <c r="I242" s="1370">
        <f t="shared" si="65"/>
        <v>11.94</v>
      </c>
      <c r="J242" s="1371">
        <f t="shared" si="66"/>
        <v>482.37</v>
      </c>
      <c r="K242" s="1217"/>
      <c r="L242" s="487"/>
      <c r="Q242" t="str">
        <f t="shared" si="60"/>
        <v>ok</v>
      </c>
      <c r="R242" t="str">
        <f t="shared" si="61"/>
        <v>ok</v>
      </c>
      <c r="S242" t="str">
        <f t="shared" si="62"/>
        <v>ok</v>
      </c>
      <c r="T242" t="str">
        <f t="shared" si="63"/>
        <v>ok</v>
      </c>
      <c r="U242" s="99">
        <v>9.8000000000000007</v>
      </c>
      <c r="V242" s="1822">
        <v>40.4</v>
      </c>
      <c r="W242" s="1822">
        <v>11.97</v>
      </c>
      <c r="X242" s="1822">
        <v>483.58</v>
      </c>
    </row>
    <row r="243" spans="1:24" ht="30" customHeight="1">
      <c r="A243" s="1651" t="s">
        <v>1705</v>
      </c>
      <c r="B243" s="1388">
        <v>91844</v>
      </c>
      <c r="C243" s="1328" t="s">
        <v>431</v>
      </c>
      <c r="D243" s="1671" t="s">
        <v>54</v>
      </c>
      <c r="E243" s="1314">
        <v>6.87</v>
      </c>
      <c r="F243" s="1320">
        <f>VLOOKUP(B243,'CADERNO DE COMPOSIÇÃO'!$A$8:$J$15448,10,FALSE)</f>
        <v>6.85</v>
      </c>
      <c r="G243" s="1372">
        <f t="shared" si="64"/>
        <v>66.099999999999994</v>
      </c>
      <c r="H243" s="1381">
        <v>66.099999999999994</v>
      </c>
      <c r="I243" s="1374">
        <f t="shared" si="65"/>
        <v>8.3699999999999992</v>
      </c>
      <c r="J243" s="77">
        <f t="shared" si="66"/>
        <v>553.25</v>
      </c>
      <c r="K243" s="1217"/>
      <c r="L243" s="374"/>
      <c r="Q243" t="str">
        <f t="shared" si="60"/>
        <v>ok</v>
      </c>
      <c r="R243" t="str">
        <f t="shared" si="61"/>
        <v>ok</v>
      </c>
      <c r="S243" t="str">
        <f t="shared" si="62"/>
        <v>ok</v>
      </c>
      <c r="T243" t="str">
        <f t="shared" si="63"/>
        <v>ok</v>
      </c>
      <c r="U243" s="99">
        <v>6.87</v>
      </c>
      <c r="V243" s="1822">
        <v>66.099999999999994</v>
      </c>
      <c r="W243" s="1822">
        <v>8.39</v>
      </c>
      <c r="X243" s="1822">
        <v>554.57000000000005</v>
      </c>
    </row>
    <row r="244" spans="1:24" ht="39.75" customHeight="1">
      <c r="A244" s="1651" t="s">
        <v>1706</v>
      </c>
      <c r="B244" s="1599">
        <v>91863</v>
      </c>
      <c r="C244" s="1597" t="s">
        <v>1554</v>
      </c>
      <c r="D244" s="80" t="s">
        <v>55</v>
      </c>
      <c r="E244" s="1314">
        <v>12.09</v>
      </c>
      <c r="F244" s="1320">
        <f>VLOOKUP(B244,'CADERNO DE COMPOSIÇÃO'!$A$8:$J$15448,10,FALSE)</f>
        <v>12.04</v>
      </c>
      <c r="G244" s="1372">
        <f t="shared" si="64"/>
        <v>22.3</v>
      </c>
      <c r="H244" s="1381">
        <v>22.3</v>
      </c>
      <c r="I244" s="1374">
        <f t="shared" si="65"/>
        <v>14.71</v>
      </c>
      <c r="J244" s="77">
        <f t="shared" si="66"/>
        <v>328.03</v>
      </c>
      <c r="K244" s="332">
        <f>'COMP ELE'!F194</f>
        <v>4.2</v>
      </c>
      <c r="L244" s="374"/>
      <c r="Q244" t="str">
        <f t="shared" si="60"/>
        <v>ok</v>
      </c>
      <c r="R244" t="str">
        <f t="shared" si="61"/>
        <v>ok</v>
      </c>
      <c r="S244" t="str">
        <f t="shared" si="62"/>
        <v>ok</v>
      </c>
      <c r="T244" t="str">
        <f t="shared" si="63"/>
        <v>ok</v>
      </c>
      <c r="U244" s="99">
        <v>12.09</v>
      </c>
      <c r="V244" s="1822">
        <v>22.3</v>
      </c>
      <c r="W244" s="1822">
        <v>14.77</v>
      </c>
      <c r="X244" s="1822">
        <v>329.37</v>
      </c>
    </row>
    <row r="245" spans="1:24" ht="40.5" customHeight="1">
      <c r="A245" s="1651" t="s">
        <v>1707</v>
      </c>
      <c r="B245" s="1599">
        <v>91841</v>
      </c>
      <c r="C245" s="1328" t="s">
        <v>1555</v>
      </c>
      <c r="D245" s="80" t="s">
        <v>55</v>
      </c>
      <c r="E245" s="1314">
        <v>13.29</v>
      </c>
      <c r="F245" s="1320">
        <f>VLOOKUP(B245,'CADERNO DE COMPOSIÇÃO'!$A$8:$J$15448,10,FALSE)</f>
        <v>13.24</v>
      </c>
      <c r="G245" s="1372">
        <f t="shared" si="64"/>
        <v>15.5</v>
      </c>
      <c r="H245" s="1381">
        <v>15.5</v>
      </c>
      <c r="I245" s="1374">
        <f t="shared" si="65"/>
        <v>16.18</v>
      </c>
      <c r="J245" s="77">
        <f t="shared" si="66"/>
        <v>250.79</v>
      </c>
      <c r="K245" s="332">
        <f>'COMP ELE'!F204</f>
        <v>4.6400000000000006</v>
      </c>
      <c r="L245" s="374"/>
      <c r="Q245" t="str">
        <f t="shared" si="60"/>
        <v>ok</v>
      </c>
      <c r="R245" t="str">
        <f t="shared" si="61"/>
        <v>ok</v>
      </c>
      <c r="S245" t="str">
        <f t="shared" si="62"/>
        <v>ok</v>
      </c>
      <c r="T245" t="str">
        <f t="shared" si="63"/>
        <v>ok</v>
      </c>
      <c r="U245" s="99">
        <v>13.29</v>
      </c>
      <c r="V245" s="1822">
        <v>15.5</v>
      </c>
      <c r="W245" s="1822">
        <v>16.239999999999998</v>
      </c>
      <c r="X245" s="1822">
        <v>251.72</v>
      </c>
    </row>
    <row r="246" spans="1:24" ht="19.5" customHeight="1">
      <c r="A246" s="1651" t="s">
        <v>1708</v>
      </c>
      <c r="B246" s="1594" t="s">
        <v>524</v>
      </c>
      <c r="C246" s="1328" t="s">
        <v>1615</v>
      </c>
      <c r="D246" s="1380" t="s">
        <v>55</v>
      </c>
      <c r="E246" s="1314">
        <f>K246</f>
        <v>4.2</v>
      </c>
      <c r="F246" s="1320">
        <f>VLOOKUP(B246,'CADERNO DE COMPOSIÇÃO'!$A$8:$J$15448,10,FALSE)</f>
        <v>4.18</v>
      </c>
      <c r="G246" s="1372">
        <f t="shared" si="64"/>
        <v>31</v>
      </c>
      <c r="H246" s="1381">
        <v>31</v>
      </c>
      <c r="I246" s="1374">
        <f t="shared" si="65"/>
        <v>5.0999999999999996</v>
      </c>
      <c r="J246" s="77">
        <f t="shared" si="66"/>
        <v>158.1</v>
      </c>
      <c r="K246" s="332">
        <f>'COMP ELE'!F194</f>
        <v>4.2</v>
      </c>
      <c r="L246" s="374"/>
      <c r="Q246" t="str">
        <f t="shared" si="60"/>
        <v>ok</v>
      </c>
      <c r="R246" t="str">
        <f t="shared" si="61"/>
        <v>ok</v>
      </c>
      <c r="S246" t="str">
        <f t="shared" si="62"/>
        <v>ok</v>
      </c>
      <c r="T246" t="str">
        <f t="shared" si="63"/>
        <v>ok</v>
      </c>
      <c r="U246" s="99">
        <v>4.2</v>
      </c>
      <c r="V246" s="1822">
        <v>31</v>
      </c>
      <c r="W246" s="1822">
        <v>5.13</v>
      </c>
      <c r="X246" s="1822">
        <v>159.03</v>
      </c>
    </row>
    <row r="247" spans="1:24" ht="28.5">
      <c r="A247" s="1651" t="s">
        <v>2394</v>
      </c>
      <c r="B247" s="1497" t="s">
        <v>526</v>
      </c>
      <c r="C247" s="1328" t="s">
        <v>2196</v>
      </c>
      <c r="D247" s="1380" t="s">
        <v>55</v>
      </c>
      <c r="E247" s="1624">
        <f>K247</f>
        <v>4.6400000000000006</v>
      </c>
      <c r="F247" s="1320">
        <f>VLOOKUP(B247,'CADERNO DE COMPOSIÇÃO'!$A$8:$J$15448,10,FALSE)</f>
        <v>4.6000000000000005</v>
      </c>
      <c r="G247" s="1372">
        <f t="shared" si="64"/>
        <v>31</v>
      </c>
      <c r="H247" s="1381">
        <v>31</v>
      </c>
      <c r="I247" s="1374">
        <f t="shared" si="65"/>
        <v>5.62</v>
      </c>
      <c r="J247" s="77">
        <f t="shared" si="66"/>
        <v>174.22</v>
      </c>
      <c r="K247" s="331">
        <f>'COMP ELE'!F204</f>
        <v>4.6400000000000006</v>
      </c>
      <c r="L247" s="53"/>
      <c r="Q247" t="str">
        <f t="shared" si="60"/>
        <v>ok</v>
      </c>
      <c r="R247" t="str">
        <f t="shared" si="61"/>
        <v>ok</v>
      </c>
      <c r="S247" t="str">
        <f t="shared" si="62"/>
        <v>ok</v>
      </c>
      <c r="T247" t="str">
        <f t="shared" si="63"/>
        <v>ok</v>
      </c>
      <c r="U247" s="99">
        <v>4.6400000000000006</v>
      </c>
      <c r="V247" s="1822">
        <v>31</v>
      </c>
      <c r="W247" s="1822">
        <v>5.67</v>
      </c>
      <c r="X247" s="1822">
        <v>175.77</v>
      </c>
    </row>
    <row r="248" spans="1:24">
      <c r="A248" s="1651" t="s">
        <v>2442</v>
      </c>
      <c r="B248" s="1497" t="s">
        <v>515</v>
      </c>
      <c r="C248" s="1328" t="s">
        <v>1533</v>
      </c>
      <c r="D248" s="1380" t="s">
        <v>55</v>
      </c>
      <c r="E248" s="1330">
        <f>K248</f>
        <v>1079.83</v>
      </c>
      <c r="F248" s="1320">
        <f>VLOOKUP(B248,'CADERNO DE COMPOSIÇÃO'!$A$8:$J$15448,10,FALSE)</f>
        <v>1074.44</v>
      </c>
      <c r="G248" s="1372">
        <f t="shared" si="64"/>
        <v>1</v>
      </c>
      <c r="H248" s="1381">
        <v>1</v>
      </c>
      <c r="I248" s="1374">
        <f t="shared" si="65"/>
        <v>1313.28</v>
      </c>
      <c r="J248" s="77">
        <f t="shared" si="66"/>
        <v>1313.28</v>
      </c>
      <c r="K248" s="1218">
        <f>'COMP ELE'!F128</f>
        <v>1079.83</v>
      </c>
      <c r="L248" s="374" t="s">
        <v>1154</v>
      </c>
      <c r="Q248" t="str">
        <f t="shared" si="60"/>
        <v>ok</v>
      </c>
      <c r="R248" t="str">
        <f t="shared" si="61"/>
        <v>ok</v>
      </c>
      <c r="S248" t="str">
        <f t="shared" si="62"/>
        <v>ok</v>
      </c>
      <c r="T248" t="str">
        <f t="shared" si="63"/>
        <v>ok</v>
      </c>
      <c r="U248" s="99">
        <v>1079.83</v>
      </c>
      <c r="V248" s="1822">
        <v>1</v>
      </c>
      <c r="W248" s="1822">
        <v>1319.87</v>
      </c>
      <c r="X248" s="1822">
        <v>1319.87</v>
      </c>
    </row>
    <row r="249" spans="1:24">
      <c r="A249" s="1487"/>
      <c r="B249" s="1626"/>
      <c r="C249" s="1385"/>
      <c r="D249" s="1614"/>
      <c r="E249" s="1615"/>
      <c r="F249" s="1615"/>
      <c r="G249" s="1616"/>
      <c r="H249" s="1623"/>
      <c r="I249" s="1422" t="s">
        <v>15</v>
      </c>
      <c r="J249" s="1035">
        <f>TRUNC(SUM(J221:J248),2)</f>
        <v>27311.279999999999</v>
      </c>
      <c r="K249" s="1218"/>
      <c r="L249" s="53"/>
      <c r="Q249" t="str">
        <f t="shared" si="60"/>
        <v>ok</v>
      </c>
      <c r="R249" t="str">
        <f t="shared" si="61"/>
        <v>ok</v>
      </c>
      <c r="S249" t="str">
        <f t="shared" si="62"/>
        <v>ok</v>
      </c>
      <c r="T249" t="str">
        <f t="shared" si="63"/>
        <v>ok</v>
      </c>
      <c r="U249" s="99"/>
      <c r="W249" s="1825" t="s">
        <v>15</v>
      </c>
      <c r="X249" s="1822">
        <v>27455.91</v>
      </c>
    </row>
    <row r="250" spans="1:24">
      <c r="A250" s="1672">
        <v>12</v>
      </c>
      <c r="B250" s="1617"/>
      <c r="C250" s="1618" t="s">
        <v>1292</v>
      </c>
      <c r="D250" s="1620"/>
      <c r="E250" s="1621"/>
      <c r="F250" s="1621"/>
      <c r="G250" s="1620" t="str">
        <f t="shared" ref="G250:G257" si="67">IF(OR(E250&lt;=0)," ",TRUNC(H250,2))</f>
        <v xml:space="preserve"> </v>
      </c>
      <c r="H250" s="1625"/>
      <c r="I250" s="1622" t="str">
        <f>IF(OR(E250&lt;=0)," ",TRUNC((E250*(1+$J$11)),2))</f>
        <v xml:space="preserve"> </v>
      </c>
      <c r="J250" s="1673" t="str">
        <f>IF(OR(E250&lt;=0)," ",TRUNC((I250*G250),2))</f>
        <v xml:space="preserve"> </v>
      </c>
      <c r="K250" s="366" t="s">
        <v>457</v>
      </c>
      <c r="L250" s="53"/>
      <c r="Q250" t="str">
        <f t="shared" si="60"/>
        <v>ok</v>
      </c>
      <c r="R250" t="str">
        <f t="shared" si="61"/>
        <v>ok</v>
      </c>
      <c r="S250" t="str">
        <f t="shared" si="62"/>
        <v>ok</v>
      </c>
      <c r="T250" t="str">
        <f t="shared" si="63"/>
        <v>ok</v>
      </c>
      <c r="U250" s="99"/>
      <c r="V250" t="s">
        <v>42</v>
      </c>
      <c r="W250" s="1822" t="s">
        <v>42</v>
      </c>
      <c r="X250" s="1822" t="s">
        <v>42</v>
      </c>
    </row>
    <row r="251" spans="1:24" ht="18" customHeight="1">
      <c r="A251" s="1651" t="s">
        <v>83</v>
      </c>
      <c r="B251" s="1495" t="s">
        <v>1547</v>
      </c>
      <c r="C251" s="1328" t="s">
        <v>1576</v>
      </c>
      <c r="D251" s="1382" t="s">
        <v>55</v>
      </c>
      <c r="E251" s="1314">
        <f>K251</f>
        <v>473.96</v>
      </c>
      <c r="F251" s="1320">
        <f>VLOOKUP(B251,'CADERNO DE COMPOSIÇÃO'!$A$8:$J$15448,10,FALSE)</f>
        <v>471.60999999999996</v>
      </c>
      <c r="G251" s="1372">
        <f t="shared" si="67"/>
        <v>1</v>
      </c>
      <c r="H251" s="1381">
        <v>1</v>
      </c>
      <c r="I251" s="1374">
        <f t="shared" ref="I251:I257" si="68">TRUNC(F251*(1+$J$11),2)</f>
        <v>576.44000000000005</v>
      </c>
      <c r="J251" s="77">
        <f t="shared" ref="J251:J257" si="69">TRUNC(I251*G251,2)</f>
        <v>576.44000000000005</v>
      </c>
      <c r="K251" s="544">
        <f>'COMP ELE'!F273</f>
        <v>473.96</v>
      </c>
      <c r="L251" s="53"/>
      <c r="Q251" t="str">
        <f t="shared" si="60"/>
        <v>ok</v>
      </c>
      <c r="R251" t="str">
        <f t="shared" si="61"/>
        <v>ok</v>
      </c>
      <c r="S251" t="str">
        <f t="shared" si="62"/>
        <v>ok</v>
      </c>
      <c r="T251" t="str">
        <f t="shared" si="63"/>
        <v>ok</v>
      </c>
      <c r="U251" s="99">
        <v>473.96</v>
      </c>
      <c r="V251" s="1822">
        <v>1</v>
      </c>
      <c r="W251" s="1822">
        <v>579.32000000000005</v>
      </c>
      <c r="X251" s="1822">
        <v>579.32000000000005</v>
      </c>
    </row>
    <row r="252" spans="1:24" ht="33" customHeight="1">
      <c r="A252" s="1092" t="s">
        <v>84</v>
      </c>
      <c r="B252" s="1304">
        <v>98111</v>
      </c>
      <c r="C252" s="1311" t="s">
        <v>1570</v>
      </c>
      <c r="D252" s="1380" t="s">
        <v>55</v>
      </c>
      <c r="E252" s="1314">
        <v>57.58</v>
      </c>
      <c r="F252" s="1320">
        <f>VLOOKUP(B252,'CADERNO DE COMPOSIÇÃO'!$A$8:$J$15448,10,FALSE)</f>
        <v>57.31</v>
      </c>
      <c r="G252" s="1372">
        <f t="shared" si="67"/>
        <v>6</v>
      </c>
      <c r="H252" s="1381">
        <v>6</v>
      </c>
      <c r="I252" s="1374">
        <f t="shared" si="68"/>
        <v>70.05</v>
      </c>
      <c r="J252" s="77">
        <f t="shared" si="69"/>
        <v>420.3</v>
      </c>
      <c r="K252" s="1218"/>
      <c r="L252" s="53"/>
      <c r="Q252" t="str">
        <f t="shared" si="60"/>
        <v>ok</v>
      </c>
      <c r="R252" t="str">
        <f t="shared" si="61"/>
        <v>ok</v>
      </c>
      <c r="S252" t="str">
        <f t="shared" si="62"/>
        <v>ok</v>
      </c>
      <c r="T252" t="str">
        <f t="shared" si="63"/>
        <v>ok</v>
      </c>
      <c r="U252" s="99">
        <v>57.58</v>
      </c>
      <c r="V252" s="1822">
        <v>6</v>
      </c>
      <c r="W252" s="1822">
        <v>70.38</v>
      </c>
      <c r="X252" s="1822">
        <v>422.28</v>
      </c>
    </row>
    <row r="253" spans="1:24" ht="33" customHeight="1">
      <c r="A253" s="1651" t="s">
        <v>85</v>
      </c>
      <c r="B253" s="1304">
        <v>96986</v>
      </c>
      <c r="C253" s="1311" t="s">
        <v>1571</v>
      </c>
      <c r="D253" s="1380" t="s">
        <v>55</v>
      </c>
      <c r="E253" s="1314">
        <v>113.97</v>
      </c>
      <c r="F253" s="1320">
        <f>VLOOKUP(B253,'CADERNO DE COMPOSIÇÃO'!$A$8:$J$15448,10,FALSE)</f>
        <v>113.47999999999999</v>
      </c>
      <c r="G253" s="1372">
        <f t="shared" si="67"/>
        <v>32</v>
      </c>
      <c r="H253" s="1381">
        <v>32</v>
      </c>
      <c r="I253" s="1374">
        <f t="shared" si="68"/>
        <v>138.69999999999999</v>
      </c>
      <c r="J253" s="77">
        <f t="shared" si="69"/>
        <v>4438.3999999999996</v>
      </c>
      <c r="K253" s="1218"/>
      <c r="L253" s="390" t="s">
        <v>2178</v>
      </c>
      <c r="Q253" t="str">
        <f t="shared" si="60"/>
        <v>ok</v>
      </c>
      <c r="R253" t="str">
        <f t="shared" si="61"/>
        <v>ok</v>
      </c>
      <c r="S253" t="str">
        <f t="shared" si="62"/>
        <v>ok</v>
      </c>
      <c r="T253" t="str">
        <f t="shared" si="63"/>
        <v>ok</v>
      </c>
      <c r="U253" s="99">
        <v>113.97</v>
      </c>
      <c r="V253" s="1822">
        <v>32</v>
      </c>
      <c r="W253" s="1822">
        <v>139.30000000000001</v>
      </c>
      <c r="X253" s="1822">
        <v>4457.6000000000004</v>
      </c>
    </row>
    <row r="254" spans="1:24" ht="34.5" customHeight="1">
      <c r="A254" s="1092" t="s">
        <v>2441</v>
      </c>
      <c r="B254" s="1304">
        <v>96972</v>
      </c>
      <c r="C254" s="1311" t="s">
        <v>1572</v>
      </c>
      <c r="D254" s="1304" t="s">
        <v>54</v>
      </c>
      <c r="E254" s="1314">
        <v>45.88</v>
      </c>
      <c r="F254" s="1320">
        <f>VLOOKUP(B254,'CADERNO DE COMPOSIÇÃO'!$A$8:$J$15448,10,FALSE)</f>
        <v>45.670000000000009</v>
      </c>
      <c r="G254" s="1372">
        <f t="shared" si="67"/>
        <v>7.74</v>
      </c>
      <c r="H254" s="1381">
        <v>7.74</v>
      </c>
      <c r="I254" s="1374">
        <f t="shared" si="68"/>
        <v>55.82</v>
      </c>
      <c r="J254" s="77">
        <f t="shared" si="69"/>
        <v>432.04</v>
      </c>
      <c r="K254" s="1218"/>
      <c r="L254" s="53"/>
      <c r="Q254" t="str">
        <f t="shared" si="60"/>
        <v>ok</v>
      </c>
      <c r="R254" t="str">
        <f t="shared" si="61"/>
        <v>ok</v>
      </c>
      <c r="S254" t="str">
        <f t="shared" si="62"/>
        <v>ok</v>
      </c>
      <c r="T254" t="str">
        <f t="shared" si="63"/>
        <v>ok</v>
      </c>
      <c r="U254" s="99">
        <v>45.88</v>
      </c>
      <c r="V254" s="1822">
        <v>7.74</v>
      </c>
      <c r="W254" s="1822">
        <v>56.07</v>
      </c>
      <c r="X254" s="1822">
        <v>433.98</v>
      </c>
    </row>
    <row r="255" spans="1:24" ht="33" customHeight="1">
      <c r="A255" s="1651" t="s">
        <v>86</v>
      </c>
      <c r="B255" s="1304">
        <v>96973</v>
      </c>
      <c r="C255" s="1311" t="s">
        <v>1573</v>
      </c>
      <c r="D255" s="1304" t="s">
        <v>54</v>
      </c>
      <c r="E255" s="1314">
        <v>61</v>
      </c>
      <c r="F255" s="1320">
        <f>VLOOKUP(B255,'CADERNO DE COMPOSIÇÃO'!$A$8:$J$15448,10,FALSE)</f>
        <v>60.730000000000004</v>
      </c>
      <c r="G255" s="1372">
        <f t="shared" si="67"/>
        <v>135.54</v>
      </c>
      <c r="H255" s="1381">
        <v>135.54</v>
      </c>
      <c r="I255" s="1374">
        <f t="shared" si="68"/>
        <v>74.23</v>
      </c>
      <c r="J255" s="77">
        <f t="shared" si="69"/>
        <v>10061.129999999999</v>
      </c>
      <c r="K255" s="1218"/>
      <c r="L255" s="53"/>
      <c r="Q255" t="str">
        <f t="shared" si="60"/>
        <v>ok</v>
      </c>
      <c r="R255" t="str">
        <f t="shared" si="61"/>
        <v>ok</v>
      </c>
      <c r="S255" t="str">
        <f t="shared" si="62"/>
        <v>ok</v>
      </c>
      <c r="T255" t="str">
        <f t="shared" si="63"/>
        <v>ok</v>
      </c>
      <c r="U255" s="99">
        <v>61</v>
      </c>
      <c r="V255" s="1822">
        <v>135.54</v>
      </c>
      <c r="W255" s="1822">
        <v>74.56</v>
      </c>
      <c r="X255" s="1822">
        <v>10105.86</v>
      </c>
    </row>
    <row r="256" spans="1:24" ht="31.5" customHeight="1">
      <c r="A256" s="1092" t="s">
        <v>178</v>
      </c>
      <c r="B256" s="1304">
        <v>96974</v>
      </c>
      <c r="C256" s="1311" t="s">
        <v>1574</v>
      </c>
      <c r="D256" s="1304" t="s">
        <v>54</v>
      </c>
      <c r="E256" s="1314">
        <v>80.180000000000007</v>
      </c>
      <c r="F256" s="1320">
        <f>VLOOKUP(B256,'CADERNO DE COMPOSIÇÃO'!$A$8:$J$15448,10,FALSE)</f>
        <v>79.84</v>
      </c>
      <c r="G256" s="1372">
        <f t="shared" si="67"/>
        <v>103.7</v>
      </c>
      <c r="H256" s="1381">
        <v>103.7</v>
      </c>
      <c r="I256" s="1374">
        <f t="shared" si="68"/>
        <v>97.58</v>
      </c>
      <c r="J256" s="77">
        <f t="shared" si="69"/>
        <v>10119.040000000001</v>
      </c>
      <c r="K256" s="1218"/>
      <c r="L256" s="53"/>
      <c r="Q256" t="str">
        <f t="shared" si="60"/>
        <v>ok</v>
      </c>
      <c r="R256" t="str">
        <f t="shared" si="61"/>
        <v>ok</v>
      </c>
      <c r="S256" t="str">
        <f t="shared" si="62"/>
        <v>ok</v>
      </c>
      <c r="T256" t="str">
        <f t="shared" si="63"/>
        <v>ok</v>
      </c>
      <c r="U256" s="99">
        <v>80.180000000000007</v>
      </c>
      <c r="V256" s="1822">
        <v>103.7</v>
      </c>
      <c r="W256" s="1822">
        <v>98</v>
      </c>
      <c r="X256" s="1822">
        <v>10162.6</v>
      </c>
    </row>
    <row r="257" spans="1:24" ht="18.75" customHeight="1">
      <c r="A257" s="1651" t="s">
        <v>179</v>
      </c>
      <c r="B257" s="1495" t="s">
        <v>1737</v>
      </c>
      <c r="C257" s="1600" t="s">
        <v>1580</v>
      </c>
      <c r="D257" s="1382" t="s">
        <v>55</v>
      </c>
      <c r="E257" s="1330">
        <f>K257</f>
        <v>33.15</v>
      </c>
      <c r="F257" s="1320">
        <f>VLOOKUP(B257,'CADERNO DE COMPOSIÇÃO'!$A$8:$J$15448,10,FALSE)</f>
        <v>33.04</v>
      </c>
      <c r="G257" s="1674">
        <f t="shared" si="67"/>
        <v>28</v>
      </c>
      <c r="H257" s="1603">
        <v>28</v>
      </c>
      <c r="I257" s="1675">
        <f t="shared" si="68"/>
        <v>40.380000000000003</v>
      </c>
      <c r="J257" s="77">
        <f t="shared" si="69"/>
        <v>1130.6400000000001</v>
      </c>
      <c r="K257" s="544">
        <f>'COMP ELE'!F290</f>
        <v>33.15</v>
      </c>
      <c r="L257" s="53"/>
      <c r="Q257" t="str">
        <f t="shared" si="60"/>
        <v>ok</v>
      </c>
      <c r="R257" t="str">
        <f t="shared" si="61"/>
        <v>ok</v>
      </c>
      <c r="S257" t="str">
        <f t="shared" si="62"/>
        <v>ok</v>
      </c>
      <c r="T257" t="str">
        <f t="shared" si="63"/>
        <v>ok</v>
      </c>
      <c r="U257" s="99">
        <v>33.15</v>
      </c>
      <c r="V257" s="1822">
        <v>28</v>
      </c>
      <c r="W257" s="1822">
        <v>40.51</v>
      </c>
      <c r="X257" s="1822">
        <v>1134.28</v>
      </c>
    </row>
    <row r="258" spans="1:24" ht="15.75" thickBot="1">
      <c r="A258" s="1487"/>
      <c r="B258" s="1614"/>
      <c r="C258" s="1619"/>
      <c r="D258" s="1614"/>
      <c r="E258" s="1615"/>
      <c r="F258" s="1615"/>
      <c r="G258" s="1616"/>
      <c r="H258" s="1623"/>
      <c r="I258" s="1422" t="s">
        <v>15</v>
      </c>
      <c r="J258" s="1035">
        <f>TRUNC(SUM(J251:J257),2)</f>
        <v>27177.99</v>
      </c>
      <c r="L258" s="53"/>
      <c r="Q258" t="str">
        <f t="shared" si="60"/>
        <v>ok</v>
      </c>
      <c r="R258" t="str">
        <f t="shared" si="61"/>
        <v>ok</v>
      </c>
      <c r="S258" t="str">
        <f t="shared" si="62"/>
        <v>ok</v>
      </c>
      <c r="T258" t="str">
        <f t="shared" si="63"/>
        <v>ok</v>
      </c>
      <c r="U258" s="99"/>
      <c r="W258" s="1825" t="s">
        <v>15</v>
      </c>
      <c r="X258" s="1822">
        <v>27295.919999999998</v>
      </c>
    </row>
    <row r="259" spans="1:24">
      <c r="A259" s="1425">
        <v>13</v>
      </c>
      <c r="B259" s="1756"/>
      <c r="C259" s="1427" t="s">
        <v>80</v>
      </c>
      <c r="D259" s="1428"/>
      <c r="E259" s="1757"/>
      <c r="F259" s="1757"/>
      <c r="G259" s="1428" t="str">
        <f t="shared" ref="G259:G284" si="70">IF(OR(E259&lt;=0)," ",TRUNC(H259,2))</f>
        <v xml:space="preserve"> </v>
      </c>
      <c r="H259" s="1758"/>
      <c r="I259" s="1759" t="str">
        <f>IF(OR(E259&lt;=0)," ",TRUNC((E259*(1+$J$11)),2))</f>
        <v xml:space="preserve"> </v>
      </c>
      <c r="J259" s="1432" t="str">
        <f>IF(OR(E259&lt;=0)," ",TRUNC((I259*G259),2))</f>
        <v xml:space="preserve"> </v>
      </c>
      <c r="K259" s="567" t="s">
        <v>1366</v>
      </c>
      <c r="L259" s="53"/>
      <c r="Q259" t="str">
        <f t="shared" si="60"/>
        <v>ok</v>
      </c>
      <c r="R259" t="str">
        <f t="shared" si="61"/>
        <v>ok</v>
      </c>
      <c r="S259" t="str">
        <f t="shared" si="62"/>
        <v>ok</v>
      </c>
      <c r="T259" t="str">
        <f t="shared" si="63"/>
        <v>ok</v>
      </c>
      <c r="U259" s="99"/>
      <c r="V259" t="s">
        <v>42</v>
      </c>
      <c r="W259" s="1822" t="s">
        <v>42</v>
      </c>
      <c r="X259" s="1822" t="s">
        <v>42</v>
      </c>
    </row>
    <row r="260" spans="1:24" ht="35.25" customHeight="1">
      <c r="A260" s="1123" t="s">
        <v>87</v>
      </c>
      <c r="B260" s="1488">
        <v>89408</v>
      </c>
      <c r="C260" s="1595" t="s">
        <v>250</v>
      </c>
      <c r="D260" s="80" t="s">
        <v>55</v>
      </c>
      <c r="E260" s="1074">
        <v>8.39</v>
      </c>
      <c r="F260" s="1320">
        <f>VLOOKUP(B260,'CADERNO DE COMPOSIÇÃO'!$A$8:$J$15448,10,FALSE)</f>
        <v>8.379999999999999</v>
      </c>
      <c r="G260" s="1369">
        <f t="shared" si="70"/>
        <v>20</v>
      </c>
      <c r="H260" s="1490">
        <v>20</v>
      </c>
      <c r="I260" s="1491">
        <f t="shared" ref="I260:I289" si="71">TRUNC(F260*(1+$J$11),2)</f>
        <v>10.24</v>
      </c>
      <c r="J260" s="1371">
        <f t="shared" ref="J260:J289" si="72">TRUNC(I260*G260,2)</f>
        <v>204.8</v>
      </c>
      <c r="K260" s="516" t="s">
        <v>457</v>
      </c>
      <c r="L260" s="53"/>
      <c r="Q260" t="str">
        <f t="shared" si="60"/>
        <v>ok</v>
      </c>
      <c r="R260" t="str">
        <f t="shared" si="61"/>
        <v>ok</v>
      </c>
      <c r="S260" t="str">
        <f t="shared" si="62"/>
        <v>ok</v>
      </c>
      <c r="T260" t="str">
        <f t="shared" si="63"/>
        <v>ok</v>
      </c>
      <c r="U260" s="99">
        <v>8.39</v>
      </c>
      <c r="V260" s="1822">
        <v>20</v>
      </c>
      <c r="W260" s="1822">
        <v>10.25</v>
      </c>
      <c r="X260" s="1822">
        <v>205</v>
      </c>
    </row>
    <row r="261" spans="1:24" ht="30.75" customHeight="1">
      <c r="A261" s="1651" t="s">
        <v>88</v>
      </c>
      <c r="B261" s="1388" t="s">
        <v>459</v>
      </c>
      <c r="C261" s="1638" t="s">
        <v>251</v>
      </c>
      <c r="D261" s="1390" t="s">
        <v>55</v>
      </c>
      <c r="E261" s="1314">
        <f>K261</f>
        <v>15.18</v>
      </c>
      <c r="F261" s="1320">
        <f>VLOOKUP(B261,'CADERNO DE COMPOSIÇÃO'!$A$8:$J$15448,10,FALSE)</f>
        <v>15.120000000000001</v>
      </c>
      <c r="G261" s="1372">
        <f t="shared" si="70"/>
        <v>5</v>
      </c>
      <c r="H261" s="1676">
        <v>5</v>
      </c>
      <c r="I261" s="1374">
        <f t="shared" si="71"/>
        <v>18.48</v>
      </c>
      <c r="J261" s="77">
        <f t="shared" si="72"/>
        <v>92.4</v>
      </c>
      <c r="K261" s="311">
        <f>' COMP HIDR 1'!F27</f>
        <v>15.18</v>
      </c>
      <c r="L261" s="53"/>
      <c r="Q261" t="str">
        <f t="shared" si="60"/>
        <v>ok</v>
      </c>
      <c r="R261" t="str">
        <f t="shared" si="61"/>
        <v>ok</v>
      </c>
      <c r="S261" t="str">
        <f t="shared" si="62"/>
        <v>ok</v>
      </c>
      <c r="T261" t="str">
        <f t="shared" si="63"/>
        <v>ok</v>
      </c>
      <c r="U261" s="99">
        <v>15.18</v>
      </c>
      <c r="V261" s="1822">
        <v>5</v>
      </c>
      <c r="W261" s="1822">
        <v>18.55</v>
      </c>
      <c r="X261" s="1822">
        <v>92.75</v>
      </c>
    </row>
    <row r="262" spans="1:24" ht="29.25" customHeight="1">
      <c r="A262" s="1651" t="s">
        <v>89</v>
      </c>
      <c r="B262" s="1388" t="s">
        <v>468</v>
      </c>
      <c r="C262" s="1638" t="s">
        <v>1807</v>
      </c>
      <c r="D262" s="1390" t="s">
        <v>55</v>
      </c>
      <c r="E262" s="1314">
        <f>K262</f>
        <v>15.41</v>
      </c>
      <c r="F262" s="1320">
        <f>VLOOKUP(B262,'CADERNO DE COMPOSIÇÃO'!$A$8:$J$15448,10,FALSE)</f>
        <v>15.35</v>
      </c>
      <c r="G262" s="1372">
        <f t="shared" si="70"/>
        <v>4</v>
      </c>
      <c r="H262" s="1492">
        <v>4</v>
      </c>
      <c r="I262" s="1374">
        <f t="shared" si="71"/>
        <v>18.760000000000002</v>
      </c>
      <c r="J262" s="77">
        <f t="shared" si="72"/>
        <v>75.040000000000006</v>
      </c>
      <c r="K262" s="566">
        <f>' COMP HIDR 1'!F41</f>
        <v>15.41</v>
      </c>
      <c r="L262" s="53"/>
      <c r="Q262" t="str">
        <f t="shared" si="60"/>
        <v>ok</v>
      </c>
      <c r="R262" t="str">
        <f t="shared" si="61"/>
        <v>ok</v>
      </c>
      <c r="S262" t="str">
        <f t="shared" si="62"/>
        <v>ok</v>
      </c>
      <c r="T262" t="str">
        <f t="shared" si="63"/>
        <v>ok</v>
      </c>
      <c r="U262" s="99">
        <v>15.41</v>
      </c>
      <c r="V262" s="1822">
        <v>4</v>
      </c>
      <c r="W262" s="1822">
        <v>18.829999999999998</v>
      </c>
      <c r="X262" s="1822">
        <v>75.319999999999993</v>
      </c>
    </row>
    <row r="263" spans="1:24" ht="21.75" customHeight="1">
      <c r="A263" s="1092" t="s">
        <v>180</v>
      </c>
      <c r="B263" s="1388" t="s">
        <v>470</v>
      </c>
      <c r="C263" s="1328" t="s">
        <v>1789</v>
      </c>
      <c r="D263" s="80" t="s">
        <v>55</v>
      </c>
      <c r="E263" s="1314">
        <f>K263</f>
        <v>127.78999999999999</v>
      </c>
      <c r="F263" s="1320">
        <f>VLOOKUP(B263,'CADERNO DE COMPOSIÇÃO'!$A$8:$J$15448,10,FALSE)</f>
        <v>127.15</v>
      </c>
      <c r="G263" s="1079">
        <f t="shared" si="70"/>
        <v>9</v>
      </c>
      <c r="H263" s="1492">
        <v>9</v>
      </c>
      <c r="I263" s="1677">
        <f t="shared" si="71"/>
        <v>155.41</v>
      </c>
      <c r="J263" s="1037">
        <f t="shared" si="72"/>
        <v>1398.69</v>
      </c>
      <c r="K263" s="566">
        <f>' COMP HIDR 1'!F55</f>
        <v>127.78999999999999</v>
      </c>
      <c r="L263" s="53"/>
      <c r="Q263" t="str">
        <f t="shared" si="60"/>
        <v>ok</v>
      </c>
      <c r="R263" t="str">
        <f t="shared" si="61"/>
        <v>ok</v>
      </c>
      <c r="S263" t="str">
        <f t="shared" si="62"/>
        <v>ok</v>
      </c>
      <c r="T263" t="str">
        <f t="shared" si="63"/>
        <v>ok</v>
      </c>
      <c r="U263" s="99">
        <v>127.78999999999999</v>
      </c>
      <c r="V263" s="1822">
        <v>9</v>
      </c>
      <c r="W263" s="1822">
        <v>156.19</v>
      </c>
      <c r="X263" s="1822">
        <v>1405.71</v>
      </c>
    </row>
    <row r="264" spans="1:24" ht="33" customHeight="1">
      <c r="A264" s="1651" t="s">
        <v>588</v>
      </c>
      <c r="B264" s="1388" t="s">
        <v>471</v>
      </c>
      <c r="C264" s="1328" t="s">
        <v>1803</v>
      </c>
      <c r="D264" s="80" t="s">
        <v>55</v>
      </c>
      <c r="E264" s="1314">
        <f>K264</f>
        <v>51.28</v>
      </c>
      <c r="F264" s="1320">
        <f>VLOOKUP(B264,'CADERNO DE COMPOSIÇÃO'!$A$8:$J$15448,10,FALSE)</f>
        <v>51.15</v>
      </c>
      <c r="G264" s="1372">
        <f t="shared" si="70"/>
        <v>1</v>
      </c>
      <c r="H264" s="1492">
        <v>1</v>
      </c>
      <c r="I264" s="1677">
        <f t="shared" si="71"/>
        <v>62.52</v>
      </c>
      <c r="J264" s="77">
        <f t="shared" si="72"/>
        <v>62.52</v>
      </c>
      <c r="K264" s="566">
        <f>' COMP HIDR 1'!F68</f>
        <v>51.28</v>
      </c>
      <c r="L264" s="53"/>
      <c r="Q264" t="str">
        <f t="shared" si="60"/>
        <v>ok</v>
      </c>
      <c r="R264" t="str">
        <f t="shared" si="61"/>
        <v>ok</v>
      </c>
      <c r="S264" t="str">
        <f t="shared" si="62"/>
        <v>ok</v>
      </c>
      <c r="T264" t="str">
        <f t="shared" si="63"/>
        <v>ok</v>
      </c>
      <c r="U264" s="99">
        <v>51.28</v>
      </c>
      <c r="V264" s="1822">
        <v>1</v>
      </c>
      <c r="W264" s="1822">
        <v>62.67</v>
      </c>
      <c r="X264" s="1822">
        <v>62.67</v>
      </c>
    </row>
    <row r="265" spans="1:24" ht="34.5" customHeight="1">
      <c r="A265" s="1092" t="s">
        <v>589</v>
      </c>
      <c r="B265" s="1388">
        <v>89378</v>
      </c>
      <c r="C265" s="1311" t="s">
        <v>1787</v>
      </c>
      <c r="D265" s="80" t="s">
        <v>55</v>
      </c>
      <c r="E265" s="1314">
        <v>6.99</v>
      </c>
      <c r="F265" s="1320">
        <f>VLOOKUP(B265,'CADERNO DE COMPOSIÇÃO'!$A$8:$J$15448,10,FALSE)</f>
        <v>6.98</v>
      </c>
      <c r="G265" s="1372">
        <f t="shared" si="70"/>
        <v>5</v>
      </c>
      <c r="H265" s="1676">
        <v>5</v>
      </c>
      <c r="I265" s="1677">
        <f t="shared" si="71"/>
        <v>8.5299999999999994</v>
      </c>
      <c r="J265" s="77">
        <f t="shared" si="72"/>
        <v>42.65</v>
      </c>
      <c r="K265" s="477"/>
      <c r="L265" s="53"/>
      <c r="Q265" t="str">
        <f t="shared" si="60"/>
        <v>ok</v>
      </c>
      <c r="R265" t="str">
        <f t="shared" si="61"/>
        <v>ok</v>
      </c>
      <c r="S265" t="str">
        <f t="shared" si="62"/>
        <v>ok</v>
      </c>
      <c r="T265" t="str">
        <f t="shared" si="63"/>
        <v>ok</v>
      </c>
      <c r="U265" s="99">
        <v>6.99</v>
      </c>
      <c r="V265" s="1822">
        <v>5</v>
      </c>
      <c r="W265" s="1822">
        <v>8.5399999999999991</v>
      </c>
      <c r="X265" s="1822">
        <v>42.7</v>
      </c>
    </row>
    <row r="266" spans="1:24" ht="34.5" customHeight="1">
      <c r="A266" s="1651" t="s">
        <v>590</v>
      </c>
      <c r="B266" s="1388">
        <v>89575</v>
      </c>
      <c r="C266" s="1311" t="s">
        <v>1788</v>
      </c>
      <c r="D266" s="80" t="s">
        <v>55</v>
      </c>
      <c r="E266" s="1314">
        <v>13.1</v>
      </c>
      <c r="F266" s="1320">
        <f>VLOOKUP(B266,'CADERNO DE COMPOSIÇÃO'!$A$8:$J$15448,10,FALSE)</f>
        <v>13.049999999999999</v>
      </c>
      <c r="G266" s="1372">
        <f t="shared" si="70"/>
        <v>2</v>
      </c>
      <c r="H266" s="1492">
        <v>2</v>
      </c>
      <c r="I266" s="1677">
        <f t="shared" si="71"/>
        <v>15.95</v>
      </c>
      <c r="J266" s="77">
        <f t="shared" si="72"/>
        <v>31.9</v>
      </c>
      <c r="K266" s="545"/>
      <c r="L266" s="53"/>
      <c r="Q266" t="str">
        <f t="shared" si="60"/>
        <v>ok</v>
      </c>
      <c r="R266" t="str">
        <f t="shared" si="61"/>
        <v>ok</v>
      </c>
      <c r="S266" t="str">
        <f t="shared" si="62"/>
        <v>ok</v>
      </c>
      <c r="T266" t="str">
        <f t="shared" si="63"/>
        <v>ok</v>
      </c>
      <c r="U266" s="99">
        <v>13.1</v>
      </c>
      <c r="V266" s="1822">
        <v>2</v>
      </c>
      <c r="W266" s="1822">
        <v>16.010000000000002</v>
      </c>
      <c r="X266" s="1822">
        <v>32.020000000000003</v>
      </c>
    </row>
    <row r="267" spans="1:24" ht="32.25" customHeight="1">
      <c r="A267" s="1092" t="s">
        <v>591</v>
      </c>
      <c r="B267" s="1423">
        <v>89356</v>
      </c>
      <c r="C267" s="1328" t="s">
        <v>252</v>
      </c>
      <c r="D267" s="1389" t="s">
        <v>54</v>
      </c>
      <c r="E267" s="1314">
        <v>21.63</v>
      </c>
      <c r="F267" s="1320">
        <f>VLOOKUP(B267,'CADERNO DE COMPOSIÇÃO'!$A$8:$J$15448,10,FALSE)</f>
        <v>21.59</v>
      </c>
      <c r="G267" s="1372">
        <f t="shared" si="70"/>
        <v>55.66</v>
      </c>
      <c r="H267" s="1678">
        <v>55.66</v>
      </c>
      <c r="I267" s="1677">
        <f t="shared" si="71"/>
        <v>26.38</v>
      </c>
      <c r="J267" s="77">
        <f t="shared" si="72"/>
        <v>1468.31</v>
      </c>
      <c r="K267" s="545"/>
      <c r="L267" s="53"/>
      <c r="Q267" t="str">
        <f t="shared" si="60"/>
        <v>ok</v>
      </c>
      <c r="R267" t="str">
        <f t="shared" si="61"/>
        <v>ok</v>
      </c>
      <c r="S267" t="str">
        <f t="shared" si="62"/>
        <v>ok</v>
      </c>
      <c r="T267" t="str">
        <f t="shared" si="63"/>
        <v>ok</v>
      </c>
      <c r="U267" s="99">
        <v>21.63</v>
      </c>
      <c r="V267" s="1822">
        <v>55.66</v>
      </c>
      <c r="W267" s="1822">
        <v>26.43</v>
      </c>
      <c r="X267" s="1822">
        <v>1471.09</v>
      </c>
    </row>
    <row r="268" spans="1:24" ht="18" customHeight="1">
      <c r="A268" s="1092" t="s">
        <v>592</v>
      </c>
      <c r="B268" s="1485" t="s">
        <v>473</v>
      </c>
      <c r="C268" s="1385" t="s">
        <v>253</v>
      </c>
      <c r="D268" s="1391" t="s">
        <v>54</v>
      </c>
      <c r="E268" s="1073">
        <f>K268</f>
        <v>22.23</v>
      </c>
      <c r="F268" s="1320">
        <f>VLOOKUP(B268,'CADERNO DE COMPOSIÇÃO'!$A$8:$J$15448,10,FALSE)</f>
        <v>22.11</v>
      </c>
      <c r="G268" s="1079">
        <f t="shared" si="70"/>
        <v>14.87</v>
      </c>
      <c r="H268" s="1486">
        <v>14.87</v>
      </c>
      <c r="I268" s="1034">
        <f t="shared" si="71"/>
        <v>27.02</v>
      </c>
      <c r="J268" s="1037">
        <f t="shared" si="72"/>
        <v>401.78</v>
      </c>
      <c r="K268" s="566">
        <f>' COMP HIDR 1'!F80</f>
        <v>22.23</v>
      </c>
      <c r="L268" s="53"/>
      <c r="Q268" t="str">
        <f t="shared" si="60"/>
        <v>ok</v>
      </c>
      <c r="R268" t="str">
        <f t="shared" si="61"/>
        <v>ok</v>
      </c>
      <c r="S268" t="str">
        <f t="shared" si="62"/>
        <v>ok</v>
      </c>
      <c r="T268" t="str">
        <f t="shared" si="63"/>
        <v>ok</v>
      </c>
      <c r="U268" s="99">
        <v>22.23</v>
      </c>
      <c r="V268" s="1822">
        <v>14.87</v>
      </c>
      <c r="W268" s="1822">
        <v>27.17</v>
      </c>
      <c r="X268" s="1822">
        <v>404.01</v>
      </c>
    </row>
    <row r="269" spans="1:24" ht="33.75" customHeight="1">
      <c r="A269" s="1651" t="s">
        <v>593</v>
      </c>
      <c r="B269" s="1388">
        <v>99635</v>
      </c>
      <c r="C269" s="1328" t="s">
        <v>161</v>
      </c>
      <c r="D269" s="1390" t="s">
        <v>55</v>
      </c>
      <c r="E269" s="1314">
        <v>198.66</v>
      </c>
      <c r="F269" s="1320">
        <f>VLOOKUP(B269,'CADERNO DE COMPOSIÇÃO'!$A$8:$J$15448,10,FALSE)</f>
        <v>197.85</v>
      </c>
      <c r="G269" s="1372">
        <f t="shared" si="70"/>
        <v>2</v>
      </c>
      <c r="H269" s="1492">
        <v>2</v>
      </c>
      <c r="I269" s="1374">
        <f t="shared" si="71"/>
        <v>241.83</v>
      </c>
      <c r="J269" s="77">
        <f t="shared" si="72"/>
        <v>483.66</v>
      </c>
      <c r="K269" s="545"/>
      <c r="L269" s="53"/>
      <c r="Q269" t="str">
        <f t="shared" si="60"/>
        <v>ok</v>
      </c>
      <c r="R269" t="str">
        <f t="shared" si="61"/>
        <v>ok</v>
      </c>
      <c r="S269" t="str">
        <f t="shared" si="62"/>
        <v>ok</v>
      </c>
      <c r="T269" t="str">
        <f t="shared" si="63"/>
        <v>ok</v>
      </c>
      <c r="U269" s="99">
        <v>198.66</v>
      </c>
      <c r="V269" s="1822">
        <v>2</v>
      </c>
      <c r="W269" s="1822">
        <v>242.82</v>
      </c>
      <c r="X269" s="1822">
        <v>485.64</v>
      </c>
    </row>
    <row r="270" spans="1:24" ht="45.75" customHeight="1">
      <c r="A270" s="1651" t="s">
        <v>594</v>
      </c>
      <c r="B270" s="1388">
        <v>89987</v>
      </c>
      <c r="C270" s="1328" t="s">
        <v>254</v>
      </c>
      <c r="D270" s="80" t="s">
        <v>55</v>
      </c>
      <c r="E270" s="1073">
        <v>83.79</v>
      </c>
      <c r="F270" s="1320">
        <f>VLOOKUP(B270,'CADERNO DE COMPOSIÇÃO'!$A$8:$J$15448,10,FALSE)</f>
        <v>83.4</v>
      </c>
      <c r="G270" s="1372">
        <f t="shared" si="70"/>
        <v>3</v>
      </c>
      <c r="H270" s="1678">
        <v>3</v>
      </c>
      <c r="I270" s="1677">
        <f t="shared" si="71"/>
        <v>101.93</v>
      </c>
      <c r="J270" s="77">
        <f t="shared" si="72"/>
        <v>305.79000000000002</v>
      </c>
      <c r="K270" s="545"/>
      <c r="L270" s="53"/>
      <c r="Q270" t="str">
        <f t="shared" si="60"/>
        <v>ok</v>
      </c>
      <c r="R270" t="str">
        <f t="shared" si="61"/>
        <v>ok</v>
      </c>
      <c r="S270" t="str">
        <f t="shared" si="62"/>
        <v>ok</v>
      </c>
      <c r="T270" t="str">
        <f t="shared" si="63"/>
        <v>ok</v>
      </c>
      <c r="U270" s="99">
        <v>83.79</v>
      </c>
      <c r="V270" s="1822">
        <v>3</v>
      </c>
      <c r="W270" s="1822">
        <v>102.41</v>
      </c>
      <c r="X270" s="1822">
        <v>307.23</v>
      </c>
    </row>
    <row r="271" spans="1:24" ht="35.25" customHeight="1">
      <c r="A271" s="1092" t="s">
        <v>595</v>
      </c>
      <c r="B271" s="1388">
        <v>90371</v>
      </c>
      <c r="C271" s="1328" t="s">
        <v>255</v>
      </c>
      <c r="D271" s="80" t="s">
        <v>55</v>
      </c>
      <c r="E271" s="1592">
        <v>28.95</v>
      </c>
      <c r="F271" s="1320">
        <f>VLOOKUP(B271,'CADERNO DE COMPOSIÇÃO'!$A$8:$J$15448,10,FALSE)</f>
        <v>28.81</v>
      </c>
      <c r="G271" s="1079">
        <f t="shared" si="70"/>
        <v>1</v>
      </c>
      <c r="H271" s="1492">
        <v>1</v>
      </c>
      <c r="I271" s="1677">
        <f t="shared" si="71"/>
        <v>35.21</v>
      </c>
      <c r="J271" s="1037">
        <f t="shared" si="72"/>
        <v>35.21</v>
      </c>
      <c r="K271" s="545"/>
      <c r="L271" s="53"/>
      <c r="Q271" t="str">
        <f t="shared" si="60"/>
        <v>ok</v>
      </c>
      <c r="R271" t="str">
        <f t="shared" si="61"/>
        <v>ok</v>
      </c>
      <c r="S271" t="str">
        <f t="shared" si="62"/>
        <v>ok</v>
      </c>
      <c r="T271" t="str">
        <f t="shared" si="63"/>
        <v>ok</v>
      </c>
      <c r="U271">
        <v>28.95</v>
      </c>
      <c r="V271" s="1822">
        <v>1</v>
      </c>
      <c r="W271" s="1822">
        <v>35.380000000000003</v>
      </c>
      <c r="X271" s="1822">
        <v>35.380000000000003</v>
      </c>
    </row>
    <row r="272" spans="1:24" ht="55.5" customHeight="1">
      <c r="A272" s="1651" t="s">
        <v>596</v>
      </c>
      <c r="B272" s="1388">
        <v>94794</v>
      </c>
      <c r="C272" s="1311" t="s">
        <v>1816</v>
      </c>
      <c r="D272" s="80" t="s">
        <v>55</v>
      </c>
      <c r="E272" s="1314">
        <v>148.30000000000001</v>
      </c>
      <c r="F272" s="1320">
        <f>VLOOKUP(B272,'CADERNO DE COMPOSIÇÃO'!$A$8:$J$15448,10,FALSE)</f>
        <v>147.63</v>
      </c>
      <c r="G272" s="1372">
        <f t="shared" si="70"/>
        <v>2</v>
      </c>
      <c r="H272" s="1492">
        <v>2</v>
      </c>
      <c r="I272" s="1677">
        <f t="shared" si="71"/>
        <v>180.44</v>
      </c>
      <c r="J272" s="77">
        <f t="shared" si="72"/>
        <v>360.88</v>
      </c>
      <c r="K272" s="545"/>
      <c r="L272" s="53"/>
      <c r="Q272" t="str">
        <f t="shared" si="60"/>
        <v>ok</v>
      </c>
      <c r="R272" t="str">
        <f t="shared" si="61"/>
        <v>ok</v>
      </c>
      <c r="S272" t="str">
        <f t="shared" si="62"/>
        <v>ok</v>
      </c>
      <c r="T272" t="str">
        <f t="shared" si="63"/>
        <v>ok</v>
      </c>
      <c r="U272" s="99">
        <v>148.30000000000001</v>
      </c>
      <c r="V272" s="1822">
        <v>2</v>
      </c>
      <c r="W272" s="1822">
        <v>181.26</v>
      </c>
      <c r="X272" s="1822">
        <v>362.52</v>
      </c>
    </row>
    <row r="273" spans="1:24" ht="48" customHeight="1">
      <c r="A273" s="1092" t="s">
        <v>597</v>
      </c>
      <c r="B273" s="1388">
        <v>94497</v>
      </c>
      <c r="C273" s="1311" t="s">
        <v>1815</v>
      </c>
      <c r="D273" s="80" t="s">
        <v>55</v>
      </c>
      <c r="E273" s="1073">
        <v>94.17</v>
      </c>
      <c r="F273" s="1320">
        <f>VLOOKUP(B273,'CADERNO DE COMPOSIÇÃO'!$A$8:$J$15448,10,FALSE)</f>
        <v>93.75</v>
      </c>
      <c r="G273" s="1372">
        <f t="shared" si="70"/>
        <v>2</v>
      </c>
      <c r="H273" s="1492">
        <v>2</v>
      </c>
      <c r="I273" s="1677">
        <f t="shared" si="71"/>
        <v>114.59</v>
      </c>
      <c r="J273" s="77">
        <f t="shared" si="72"/>
        <v>229.18</v>
      </c>
      <c r="K273" s="545"/>
      <c r="L273" s="53"/>
      <c r="Q273" t="str">
        <f t="shared" si="60"/>
        <v>ok</v>
      </c>
      <c r="R273" t="str">
        <f t="shared" si="61"/>
        <v>ok</v>
      </c>
      <c r="S273" t="str">
        <f t="shared" si="62"/>
        <v>ok</v>
      </c>
      <c r="T273" t="str">
        <f t="shared" si="63"/>
        <v>ok</v>
      </c>
      <c r="U273" s="99">
        <v>94.17</v>
      </c>
      <c r="V273" s="1822">
        <v>2</v>
      </c>
      <c r="W273" s="1822">
        <v>115.1</v>
      </c>
      <c r="X273" s="1822">
        <v>230.2</v>
      </c>
    </row>
    <row r="274" spans="1:24" ht="47.25" customHeight="1">
      <c r="A274" s="1651" t="s">
        <v>598</v>
      </c>
      <c r="B274" s="1388">
        <v>89385</v>
      </c>
      <c r="C274" s="1328" t="s">
        <v>256</v>
      </c>
      <c r="D274" s="80" t="s">
        <v>55</v>
      </c>
      <c r="E274" s="1073">
        <v>7.47</v>
      </c>
      <c r="F274" s="1320">
        <f>VLOOKUP(B274,'CADERNO DE COMPOSIÇÃO'!$A$8:$J$15448,10,FALSE)</f>
        <v>7.4500000000000011</v>
      </c>
      <c r="G274" s="1372">
        <f t="shared" si="70"/>
        <v>2</v>
      </c>
      <c r="H274" s="1492">
        <v>2</v>
      </c>
      <c r="I274" s="1677">
        <f t="shared" si="71"/>
        <v>9.1</v>
      </c>
      <c r="J274" s="77">
        <f t="shared" si="72"/>
        <v>18.2</v>
      </c>
      <c r="K274" s="310"/>
      <c r="L274" s="53"/>
      <c r="Q274" t="str">
        <f t="shared" ref="Q274:Q337" si="73">IF(F274&gt;U274,"CONFERIR","ok")</f>
        <v>ok</v>
      </c>
      <c r="R274" t="str">
        <f t="shared" ref="R274:R337" si="74">IF(G274&gt;V274,"CONFERIR","ok")</f>
        <v>ok</v>
      </c>
      <c r="S274" t="str">
        <f t="shared" ref="S274:S337" si="75">IF(I274&gt;W274,"CONFERIR","ok")</f>
        <v>ok</v>
      </c>
      <c r="T274" t="str">
        <f t="shared" ref="T274:T337" si="76">IF(J274&gt;X274,"CONFERIR","ok")</f>
        <v>ok</v>
      </c>
      <c r="U274" s="99">
        <v>7.47</v>
      </c>
      <c r="V274" s="1822">
        <v>2</v>
      </c>
      <c r="W274" s="1822">
        <v>9.1300000000000008</v>
      </c>
      <c r="X274" s="1822">
        <v>18.260000000000002</v>
      </c>
    </row>
    <row r="275" spans="1:24" ht="48" customHeight="1">
      <c r="A275" s="1092" t="s">
        <v>599</v>
      </c>
      <c r="B275" s="1388">
        <v>94703</v>
      </c>
      <c r="C275" s="1328" t="s">
        <v>627</v>
      </c>
      <c r="D275" s="80" t="s">
        <v>55</v>
      </c>
      <c r="E275" s="1073">
        <v>25.49</v>
      </c>
      <c r="F275" s="1320">
        <f>VLOOKUP(B275,'CADERNO DE COMPOSIÇÃO'!$A$8:$J$15448,10,FALSE)</f>
        <v>25.39</v>
      </c>
      <c r="G275" s="1372">
        <f t="shared" si="70"/>
        <v>1</v>
      </c>
      <c r="H275" s="1492">
        <v>1</v>
      </c>
      <c r="I275" s="1677">
        <f t="shared" si="71"/>
        <v>31.03</v>
      </c>
      <c r="J275" s="77">
        <f t="shared" si="72"/>
        <v>31.03</v>
      </c>
      <c r="K275" s="310"/>
      <c r="L275" s="53"/>
      <c r="Q275" t="str">
        <f t="shared" si="73"/>
        <v>ok</v>
      </c>
      <c r="R275" t="str">
        <f t="shared" si="74"/>
        <v>ok</v>
      </c>
      <c r="S275" t="str">
        <f t="shared" si="75"/>
        <v>ok</v>
      </c>
      <c r="T275" t="str">
        <f t="shared" si="76"/>
        <v>ok</v>
      </c>
      <c r="U275" s="99">
        <v>25.49</v>
      </c>
      <c r="V275" s="1822">
        <v>1</v>
      </c>
      <c r="W275" s="1822">
        <v>31.15</v>
      </c>
      <c r="X275" s="1822">
        <v>31.15</v>
      </c>
    </row>
    <row r="276" spans="1:24" ht="57.75" customHeight="1">
      <c r="A276" s="1651" t="s">
        <v>600</v>
      </c>
      <c r="B276" s="1388">
        <v>94706</v>
      </c>
      <c r="C276" s="1328" t="s">
        <v>257</v>
      </c>
      <c r="D276" s="80" t="s">
        <v>55</v>
      </c>
      <c r="E276" s="1073">
        <v>54.26</v>
      </c>
      <c r="F276" s="1320">
        <f>VLOOKUP(B276,'CADERNO DE COMPOSIÇÃO'!$A$8:$J$15448,10,FALSE)</f>
        <v>54.030000000000008</v>
      </c>
      <c r="G276" s="1372">
        <f t="shared" si="70"/>
        <v>3</v>
      </c>
      <c r="H276" s="1492">
        <v>3</v>
      </c>
      <c r="I276" s="1677">
        <f t="shared" si="71"/>
        <v>66.040000000000006</v>
      </c>
      <c r="J276" s="77">
        <f t="shared" si="72"/>
        <v>198.12</v>
      </c>
      <c r="K276" s="310"/>
      <c r="L276" s="53"/>
      <c r="Q276" t="str">
        <f t="shared" si="73"/>
        <v>ok</v>
      </c>
      <c r="R276" t="str">
        <f t="shared" si="74"/>
        <v>ok</v>
      </c>
      <c r="S276" t="str">
        <f t="shared" si="75"/>
        <v>ok</v>
      </c>
      <c r="T276" t="str">
        <f t="shared" si="76"/>
        <v>ok</v>
      </c>
      <c r="U276" s="99">
        <v>54.26</v>
      </c>
      <c r="V276" s="1822">
        <v>3</v>
      </c>
      <c r="W276" s="1822">
        <v>66.319999999999993</v>
      </c>
      <c r="X276" s="1822">
        <v>198.96</v>
      </c>
    </row>
    <row r="277" spans="1:24" ht="43.5" customHeight="1">
      <c r="A277" s="1092" t="s">
        <v>601</v>
      </c>
      <c r="B277" s="1388">
        <v>89383</v>
      </c>
      <c r="C277" s="1328" t="s">
        <v>258</v>
      </c>
      <c r="D277" s="80" t="s">
        <v>55</v>
      </c>
      <c r="E277" s="1073">
        <v>6.6</v>
      </c>
      <c r="F277" s="1320">
        <f>VLOOKUP(B277,'CADERNO DE COMPOSIÇÃO'!$A$8:$J$15448,10,FALSE)</f>
        <v>4.2699999999999996</v>
      </c>
      <c r="G277" s="1372">
        <f t="shared" si="70"/>
        <v>3</v>
      </c>
      <c r="H277" s="1492">
        <v>3</v>
      </c>
      <c r="I277" s="1677">
        <f t="shared" si="71"/>
        <v>5.21</v>
      </c>
      <c r="J277" s="77">
        <f t="shared" si="72"/>
        <v>15.63</v>
      </c>
      <c r="K277" s="310"/>
      <c r="L277" s="53"/>
      <c r="Q277" t="str">
        <f t="shared" si="73"/>
        <v>ok</v>
      </c>
      <c r="R277" t="str">
        <f t="shared" si="74"/>
        <v>ok</v>
      </c>
      <c r="S277" t="str">
        <f t="shared" si="75"/>
        <v>ok</v>
      </c>
      <c r="T277" t="str">
        <f t="shared" si="76"/>
        <v>ok</v>
      </c>
      <c r="U277" s="99">
        <v>6.6</v>
      </c>
      <c r="V277" s="1822">
        <v>3</v>
      </c>
      <c r="W277" s="1822">
        <v>8.06</v>
      </c>
      <c r="X277" s="1822">
        <v>24.18</v>
      </c>
    </row>
    <row r="278" spans="1:24" ht="31.5" customHeight="1">
      <c r="A278" s="1651" t="s">
        <v>602</v>
      </c>
      <c r="B278" s="1388" t="s">
        <v>474</v>
      </c>
      <c r="C278" s="1679" t="s">
        <v>259</v>
      </c>
      <c r="D278" s="80" t="s">
        <v>55</v>
      </c>
      <c r="E278" s="1073">
        <f>K278</f>
        <v>12.82</v>
      </c>
      <c r="F278" s="1320">
        <f>VLOOKUP(B278,'CADERNO DE COMPOSIÇÃO'!$A$8:$J$15448,10,FALSE)</f>
        <v>12.760000000000002</v>
      </c>
      <c r="G278" s="1372">
        <f t="shared" si="70"/>
        <v>10</v>
      </c>
      <c r="H278" s="1492">
        <v>10</v>
      </c>
      <c r="I278" s="1677">
        <f t="shared" si="71"/>
        <v>15.59</v>
      </c>
      <c r="J278" s="77">
        <f t="shared" si="72"/>
        <v>155.9</v>
      </c>
      <c r="K278" s="566">
        <f>' COMP HIDR 1'!F94</f>
        <v>12.82</v>
      </c>
      <c r="L278" s="53"/>
      <c r="Q278" t="str">
        <f t="shared" si="73"/>
        <v>ok</v>
      </c>
      <c r="R278" t="str">
        <f t="shared" si="74"/>
        <v>ok</v>
      </c>
      <c r="S278" t="str">
        <f t="shared" si="75"/>
        <v>ok</v>
      </c>
      <c r="T278" t="str">
        <f t="shared" si="76"/>
        <v>ok</v>
      </c>
      <c r="U278" s="99">
        <v>12.82</v>
      </c>
      <c r="V278" s="1822">
        <v>10</v>
      </c>
      <c r="W278" s="1822">
        <v>15.66</v>
      </c>
      <c r="X278" s="1822">
        <v>156.6</v>
      </c>
    </row>
    <row r="279" spans="1:24" ht="33.75" customHeight="1">
      <c r="A279" s="1651" t="s">
        <v>603</v>
      </c>
      <c r="B279" s="1388" t="s">
        <v>476</v>
      </c>
      <c r="C279" s="1679" t="s">
        <v>260</v>
      </c>
      <c r="D279" s="1390" t="s">
        <v>55</v>
      </c>
      <c r="E279" s="1314">
        <f>K279</f>
        <v>11.559999999999999</v>
      </c>
      <c r="F279" s="1320">
        <f>VLOOKUP(B279,'CADERNO DE COMPOSIÇÃO'!$A$8:$J$15448,10,FALSE)</f>
        <v>11.5</v>
      </c>
      <c r="G279" s="1372">
        <f t="shared" si="70"/>
        <v>3</v>
      </c>
      <c r="H279" s="1492">
        <v>3</v>
      </c>
      <c r="I279" s="1374">
        <f t="shared" si="71"/>
        <v>14.05</v>
      </c>
      <c r="J279" s="77">
        <f t="shared" si="72"/>
        <v>42.15</v>
      </c>
      <c r="K279" s="566">
        <f>' COMP HIDR 1'!F107</f>
        <v>11.559999999999999</v>
      </c>
      <c r="L279" s="53"/>
      <c r="Q279" t="str">
        <f t="shared" si="73"/>
        <v>ok</v>
      </c>
      <c r="R279" t="str">
        <f t="shared" si="74"/>
        <v>ok</v>
      </c>
      <c r="S279" t="str">
        <f t="shared" si="75"/>
        <v>ok</v>
      </c>
      <c r="T279" t="str">
        <f t="shared" si="76"/>
        <v>ok</v>
      </c>
      <c r="U279" s="99">
        <v>11.559999999999999</v>
      </c>
      <c r="V279" s="1822">
        <v>3</v>
      </c>
      <c r="W279" s="1822">
        <v>14.12</v>
      </c>
      <c r="X279" s="1822">
        <v>42.36</v>
      </c>
    </row>
    <row r="280" spans="1:24" ht="36.75" customHeight="1">
      <c r="A280" s="1651" t="s">
        <v>604</v>
      </c>
      <c r="B280" s="1388">
        <v>89395</v>
      </c>
      <c r="C280" s="1328" t="s">
        <v>261</v>
      </c>
      <c r="D280" s="1390" t="s">
        <v>55</v>
      </c>
      <c r="E280" s="1314">
        <v>12.73</v>
      </c>
      <c r="F280" s="1320">
        <f>VLOOKUP(B280,'CADERNO DE COMPOSIÇÃO'!$A$8:$J$15448,10,FALSE)</f>
        <v>12.71</v>
      </c>
      <c r="G280" s="1372">
        <f t="shared" si="70"/>
        <v>8</v>
      </c>
      <c r="H280" s="1492">
        <v>8</v>
      </c>
      <c r="I280" s="1374">
        <f t="shared" si="71"/>
        <v>15.53</v>
      </c>
      <c r="J280" s="77">
        <f t="shared" si="72"/>
        <v>124.24</v>
      </c>
      <c r="K280" s="310"/>
      <c r="L280" s="53"/>
      <c r="Q280" t="str">
        <f t="shared" si="73"/>
        <v>ok</v>
      </c>
      <c r="R280" t="str">
        <f t="shared" si="74"/>
        <v>ok</v>
      </c>
      <c r="S280" t="str">
        <f t="shared" si="75"/>
        <v>ok</v>
      </c>
      <c r="T280" t="str">
        <f t="shared" si="76"/>
        <v>ok</v>
      </c>
      <c r="U280" s="99">
        <v>12.73</v>
      </c>
      <c r="V280" s="1822">
        <v>8</v>
      </c>
      <c r="W280" s="1822">
        <v>15.55</v>
      </c>
      <c r="X280" s="1822">
        <v>124.4</v>
      </c>
    </row>
    <row r="281" spans="1:24" ht="31.5" customHeight="1">
      <c r="A281" s="1092" t="s">
        <v>605</v>
      </c>
      <c r="B281" s="1388" t="s">
        <v>1817</v>
      </c>
      <c r="C281" s="1328" t="s">
        <v>263</v>
      </c>
      <c r="D281" s="80" t="s">
        <v>55</v>
      </c>
      <c r="E281" s="1073">
        <f>K281</f>
        <v>35.15</v>
      </c>
      <c r="F281" s="1320">
        <f>VLOOKUP(B281,'CADERNO DE COMPOSIÇÃO'!$A$8:$J$15448,10,FALSE)</f>
        <v>35</v>
      </c>
      <c r="G281" s="1372">
        <f t="shared" si="70"/>
        <v>2</v>
      </c>
      <c r="H281" s="1492">
        <v>2</v>
      </c>
      <c r="I281" s="1677">
        <f t="shared" si="71"/>
        <v>42.78</v>
      </c>
      <c r="J281" s="77">
        <f t="shared" si="72"/>
        <v>85.56</v>
      </c>
      <c r="K281" s="566">
        <f>' COMP HIDR 1'!F121</f>
        <v>35.15</v>
      </c>
      <c r="L281" s="53"/>
      <c r="Q281" t="str">
        <f t="shared" si="73"/>
        <v>ok</v>
      </c>
      <c r="R281" t="str">
        <f t="shared" si="74"/>
        <v>ok</v>
      </c>
      <c r="S281" t="str">
        <f t="shared" si="75"/>
        <v>ok</v>
      </c>
      <c r="T281" t="str">
        <f t="shared" si="76"/>
        <v>ok</v>
      </c>
      <c r="U281" s="99">
        <v>35.15</v>
      </c>
      <c r="V281" s="1822">
        <v>2</v>
      </c>
      <c r="W281" s="1822">
        <v>42.96</v>
      </c>
      <c r="X281" s="1822">
        <v>85.92</v>
      </c>
    </row>
    <row r="282" spans="1:24" ht="25.5" customHeight="1">
      <c r="A282" s="1651" t="s">
        <v>606</v>
      </c>
      <c r="B282" s="1388" t="s">
        <v>479</v>
      </c>
      <c r="C282" s="1328" t="s">
        <v>262</v>
      </c>
      <c r="D282" s="80" t="s">
        <v>55</v>
      </c>
      <c r="E282" s="1073">
        <f>K282</f>
        <v>34.4</v>
      </c>
      <c r="F282" s="1320">
        <f>VLOOKUP(B282,'CADERNO DE COMPOSIÇÃO'!$A$8:$J$15448,10,FALSE)</f>
        <v>34.26</v>
      </c>
      <c r="G282" s="1372">
        <f t="shared" si="70"/>
        <v>5</v>
      </c>
      <c r="H282" s="1492">
        <v>5</v>
      </c>
      <c r="I282" s="1677">
        <f t="shared" si="71"/>
        <v>41.87</v>
      </c>
      <c r="J282" s="77">
        <f t="shared" si="72"/>
        <v>209.35</v>
      </c>
      <c r="K282" s="566">
        <f>' COMP HIDR 1'!F135</f>
        <v>34.4</v>
      </c>
      <c r="L282" s="564"/>
      <c r="Q282" t="str">
        <f t="shared" si="73"/>
        <v>ok</v>
      </c>
      <c r="R282" t="str">
        <f t="shared" si="74"/>
        <v>ok</v>
      </c>
      <c r="S282" t="str">
        <f t="shared" si="75"/>
        <v>ok</v>
      </c>
      <c r="T282" t="str">
        <f t="shared" si="76"/>
        <v>ok</v>
      </c>
      <c r="U282" s="99">
        <v>34.4</v>
      </c>
      <c r="V282" s="1822">
        <v>5</v>
      </c>
      <c r="W282" s="1822">
        <v>42.04</v>
      </c>
      <c r="X282" s="1822">
        <v>210.2</v>
      </c>
    </row>
    <row r="283" spans="1:24" ht="45" customHeight="1">
      <c r="A283" s="1092" t="s">
        <v>1809</v>
      </c>
      <c r="B283" s="1388">
        <v>89366</v>
      </c>
      <c r="C283" s="1328" t="s">
        <v>264</v>
      </c>
      <c r="D283" s="80" t="s">
        <v>55</v>
      </c>
      <c r="E283" s="1073">
        <v>18.760000000000002</v>
      </c>
      <c r="F283" s="1320">
        <f>VLOOKUP(B283,'CADERNO DE COMPOSIÇÃO'!$A$8:$J$15448,10,FALSE)</f>
        <v>18.7</v>
      </c>
      <c r="G283" s="1372">
        <f t="shared" si="70"/>
        <v>1</v>
      </c>
      <c r="H283" s="1492">
        <v>1</v>
      </c>
      <c r="I283" s="1677">
        <f t="shared" si="71"/>
        <v>22.85</v>
      </c>
      <c r="J283" s="77">
        <f t="shared" si="72"/>
        <v>22.85</v>
      </c>
      <c r="K283" s="545"/>
      <c r="L283" s="53"/>
      <c r="Q283" t="str">
        <f t="shared" si="73"/>
        <v>ok</v>
      </c>
      <c r="R283" t="str">
        <f t="shared" si="74"/>
        <v>ok</v>
      </c>
      <c r="S283" t="str">
        <f t="shared" si="75"/>
        <v>ok</v>
      </c>
      <c r="T283" t="str">
        <f t="shared" si="76"/>
        <v>ok</v>
      </c>
      <c r="U283" s="99">
        <v>18.760000000000002</v>
      </c>
      <c r="V283" s="1822">
        <v>1</v>
      </c>
      <c r="W283" s="1822">
        <v>22.93</v>
      </c>
      <c r="X283" s="1822">
        <v>22.93</v>
      </c>
    </row>
    <row r="284" spans="1:24" ht="31.5" customHeight="1">
      <c r="A284" s="1651" t="s">
        <v>1810</v>
      </c>
      <c r="B284" s="1388">
        <v>86884</v>
      </c>
      <c r="C284" s="1328" t="s">
        <v>268</v>
      </c>
      <c r="D284" s="80" t="s">
        <v>55</v>
      </c>
      <c r="E284" s="1073">
        <v>12.31</v>
      </c>
      <c r="F284" s="1320">
        <f>VLOOKUP(B284,'CADERNO DE COMPOSIÇÃO'!$A$8:$J$15448,10,FALSE)</f>
        <v>12.27</v>
      </c>
      <c r="G284" s="1372">
        <f t="shared" si="70"/>
        <v>6</v>
      </c>
      <c r="H284" s="1492">
        <v>6</v>
      </c>
      <c r="I284" s="1677">
        <f t="shared" si="71"/>
        <v>14.99</v>
      </c>
      <c r="J284" s="77">
        <f t="shared" si="72"/>
        <v>89.94</v>
      </c>
      <c r="K284" s="545"/>
      <c r="L284" s="53"/>
      <c r="Q284" t="str">
        <f t="shared" si="73"/>
        <v>ok</v>
      </c>
      <c r="R284" t="str">
        <f t="shared" si="74"/>
        <v>ok</v>
      </c>
      <c r="S284" t="str">
        <f t="shared" si="75"/>
        <v>ok</v>
      </c>
      <c r="T284" t="str">
        <f t="shared" si="76"/>
        <v>ok</v>
      </c>
      <c r="U284" s="99">
        <v>12.31</v>
      </c>
      <c r="V284" s="1822">
        <v>6</v>
      </c>
      <c r="W284" s="1822">
        <v>15.04</v>
      </c>
      <c r="X284" s="1822">
        <v>90.24</v>
      </c>
    </row>
    <row r="285" spans="1:24" ht="22.5" customHeight="1">
      <c r="A285" s="1651" t="s">
        <v>1811</v>
      </c>
      <c r="B285" s="1388" t="s">
        <v>2451</v>
      </c>
      <c r="C285" s="1385" t="s">
        <v>2450</v>
      </c>
      <c r="D285" s="80" t="s">
        <v>55</v>
      </c>
      <c r="E285" s="1073">
        <f>K285</f>
        <v>1503.6100000000001</v>
      </c>
      <c r="F285" s="1320">
        <f>VLOOKUP(B285,'CADERNO DE COMPOSIÇÃO'!$A$8:$J$15448,10,FALSE)</f>
        <v>1496.2199999999998</v>
      </c>
      <c r="G285" s="1079">
        <v>1</v>
      </c>
      <c r="H285" s="1486"/>
      <c r="I285" s="1677">
        <f t="shared" si="71"/>
        <v>1828.82</v>
      </c>
      <c r="J285" s="77">
        <f t="shared" si="72"/>
        <v>1828.82</v>
      </c>
      <c r="K285" s="566">
        <f>' COMP HIDR 1'!F297</f>
        <v>1503.6100000000001</v>
      </c>
      <c r="L285" s="53"/>
      <c r="Q285" t="str">
        <f t="shared" si="73"/>
        <v>ok</v>
      </c>
      <c r="R285" t="str">
        <f t="shared" si="74"/>
        <v>ok</v>
      </c>
      <c r="S285" t="str">
        <f t="shared" si="75"/>
        <v>ok</v>
      </c>
      <c r="T285" t="str">
        <f t="shared" si="76"/>
        <v>ok</v>
      </c>
      <c r="U285" s="99">
        <v>1503.6100000000001</v>
      </c>
      <c r="V285" s="1822">
        <v>1</v>
      </c>
      <c r="W285" s="1822">
        <v>1837.86</v>
      </c>
      <c r="X285" s="1822">
        <v>1837.86</v>
      </c>
    </row>
    <row r="286" spans="1:24" ht="33" customHeight="1">
      <c r="A286" s="1092" t="s">
        <v>1812</v>
      </c>
      <c r="B286" s="1485" t="s">
        <v>482</v>
      </c>
      <c r="C286" s="1385" t="s">
        <v>1800</v>
      </c>
      <c r="D286" s="1386" t="s">
        <v>55</v>
      </c>
      <c r="E286" s="1073">
        <f>K286</f>
        <v>1281.1200000000001</v>
      </c>
      <c r="F286" s="1320">
        <f>VLOOKUP(B286,'CADERNO DE COMPOSIÇÃO'!$A$8:$J$15448,10,FALSE)</f>
        <v>1274.92</v>
      </c>
      <c r="G286" s="1079">
        <f>IF(OR(E286&lt;=0)," ",TRUNC(H286,2))</f>
        <v>4</v>
      </c>
      <c r="H286" s="1486">
        <v>4</v>
      </c>
      <c r="I286" s="1036">
        <f t="shared" si="71"/>
        <v>1558.33</v>
      </c>
      <c r="J286" s="1037">
        <f t="shared" si="72"/>
        <v>6233.32</v>
      </c>
      <c r="K286" s="566">
        <f>' COMP HIDR 1'!F148</f>
        <v>1281.1200000000001</v>
      </c>
      <c r="L286" s="53"/>
      <c r="Q286" t="str">
        <f t="shared" si="73"/>
        <v>ok</v>
      </c>
      <c r="R286" t="str">
        <f t="shared" si="74"/>
        <v>ok</v>
      </c>
      <c r="S286" t="str">
        <f t="shared" si="75"/>
        <v>ok</v>
      </c>
      <c r="T286" t="str">
        <f t="shared" si="76"/>
        <v>ok</v>
      </c>
      <c r="U286" s="99">
        <v>1281.1200000000001</v>
      </c>
      <c r="V286" s="1822">
        <v>4</v>
      </c>
      <c r="W286" s="1822">
        <v>1565.91</v>
      </c>
      <c r="X286" s="1822">
        <v>6263.64</v>
      </c>
    </row>
    <row r="287" spans="1:24" ht="24" customHeight="1">
      <c r="A287" s="1651" t="s">
        <v>1813</v>
      </c>
      <c r="B287" s="1388" t="s">
        <v>1818</v>
      </c>
      <c r="C287" s="1328" t="s">
        <v>1822</v>
      </c>
      <c r="D287" s="1390" t="s">
        <v>55</v>
      </c>
      <c r="E287" s="1314">
        <f>K287</f>
        <v>28.3</v>
      </c>
      <c r="F287" s="1320">
        <f>VLOOKUP(B287,'CADERNO DE COMPOSIÇÃO'!$A$8:$J$15448,10,FALSE)</f>
        <v>28.240000000000002</v>
      </c>
      <c r="G287" s="1372">
        <f>IF(OR(E287&lt;=0)," ",TRUNC(H287,2))</f>
        <v>2</v>
      </c>
      <c r="H287" s="1492">
        <v>2</v>
      </c>
      <c r="I287" s="1374">
        <f t="shared" si="71"/>
        <v>34.51</v>
      </c>
      <c r="J287" s="77">
        <f t="shared" si="72"/>
        <v>69.02</v>
      </c>
      <c r="K287" s="566">
        <f>' COMP HIDR 1'!F159</f>
        <v>28.3</v>
      </c>
      <c r="L287" s="53"/>
      <c r="Q287" t="str">
        <f t="shared" si="73"/>
        <v>ok</v>
      </c>
      <c r="R287" t="str">
        <f t="shared" si="74"/>
        <v>ok</v>
      </c>
      <c r="S287" t="str">
        <f t="shared" si="75"/>
        <v>ok</v>
      </c>
      <c r="T287" t="str">
        <f t="shared" si="76"/>
        <v>ok</v>
      </c>
      <c r="U287" s="99">
        <v>28.3</v>
      </c>
      <c r="V287" s="1822">
        <v>2</v>
      </c>
      <c r="W287" s="1822">
        <v>34.590000000000003</v>
      </c>
      <c r="X287" s="1822">
        <v>69.180000000000007</v>
      </c>
    </row>
    <row r="288" spans="1:24" ht="45.75" customHeight="1">
      <c r="A288" s="1651" t="s">
        <v>1814</v>
      </c>
      <c r="B288" s="1488">
        <v>86931</v>
      </c>
      <c r="C288" s="1489" t="s">
        <v>1827</v>
      </c>
      <c r="D288" s="80" t="s">
        <v>55</v>
      </c>
      <c r="E288" s="1413">
        <v>498.99</v>
      </c>
      <c r="F288" s="1320">
        <f>VLOOKUP(B288,'CADERNO DE COMPOSIÇÃO'!$A$8:$J$15448,10,FALSE)</f>
        <v>496.43</v>
      </c>
      <c r="G288" s="1369">
        <f>IF(OR(E288&lt;=0)," ",TRUNC(H288,2))</f>
        <v>4</v>
      </c>
      <c r="H288" s="1490">
        <v>4</v>
      </c>
      <c r="I288" s="1491">
        <f t="shared" si="71"/>
        <v>606.78</v>
      </c>
      <c r="J288" s="1371">
        <f t="shared" si="72"/>
        <v>2427.12</v>
      </c>
      <c r="K288" s="545"/>
      <c r="L288" s="53"/>
      <c r="Q288" t="str">
        <f t="shared" si="73"/>
        <v>ok</v>
      </c>
      <c r="R288" t="str">
        <f t="shared" si="74"/>
        <v>ok</v>
      </c>
      <c r="S288" t="str">
        <f t="shared" si="75"/>
        <v>ok</v>
      </c>
      <c r="T288" t="str">
        <f t="shared" si="76"/>
        <v>ok</v>
      </c>
      <c r="U288" s="99">
        <v>498.99</v>
      </c>
      <c r="V288" s="1822">
        <v>4</v>
      </c>
      <c r="W288" s="1822">
        <v>609.91</v>
      </c>
      <c r="X288" s="1822">
        <v>2439.64</v>
      </c>
    </row>
    <row r="289" spans="1:24" ht="48.75" customHeight="1">
      <c r="A289" s="1092" t="s">
        <v>2446</v>
      </c>
      <c r="B289" s="568">
        <v>95472</v>
      </c>
      <c r="C289" s="1311" t="s">
        <v>1826</v>
      </c>
      <c r="D289" s="80" t="s">
        <v>55</v>
      </c>
      <c r="E289" s="1073">
        <v>768.39</v>
      </c>
      <c r="F289" s="1320">
        <f>VLOOKUP(B289,'CADERNO DE COMPOSIÇÃO'!$A$8:$J$15448,10,FALSE)</f>
        <v>764.46</v>
      </c>
      <c r="G289" s="1372">
        <f>IF(OR(E289&lt;=0)," ",TRUNC(H289,2))</f>
        <v>2</v>
      </c>
      <c r="H289" s="1492">
        <v>2</v>
      </c>
      <c r="I289" s="1677">
        <f t="shared" si="71"/>
        <v>934.39</v>
      </c>
      <c r="J289" s="77">
        <f t="shared" si="72"/>
        <v>1868.78</v>
      </c>
      <c r="K289" s="310"/>
      <c r="L289" s="53"/>
      <c r="Q289" t="str">
        <f t="shared" si="73"/>
        <v>ok</v>
      </c>
      <c r="R289" t="str">
        <f t="shared" si="74"/>
        <v>ok</v>
      </c>
      <c r="S289" t="str">
        <f t="shared" si="75"/>
        <v>ok</v>
      </c>
      <c r="T289" t="str">
        <f t="shared" si="76"/>
        <v>ok</v>
      </c>
      <c r="U289" s="99">
        <v>768.39</v>
      </c>
      <c r="V289" s="1822">
        <v>2</v>
      </c>
      <c r="W289" s="1822">
        <v>939.2</v>
      </c>
      <c r="X289" s="1822">
        <v>1878.4</v>
      </c>
    </row>
    <row r="290" spans="1:24" ht="15.75" thickBot="1">
      <c r="A290" s="78"/>
      <c r="B290" s="1409"/>
      <c r="C290" s="1680"/>
      <c r="D290" s="1409"/>
      <c r="E290" s="1681"/>
      <c r="F290" s="1681"/>
      <c r="G290" s="1682"/>
      <c r="H290" s="1683"/>
      <c r="I290" s="1436" t="s">
        <v>15</v>
      </c>
      <c r="J290" s="79">
        <f>TRUNC(SUM(J260:J289),2)</f>
        <v>18612.84</v>
      </c>
      <c r="K290" s="310"/>
      <c r="L290" s="53"/>
      <c r="Q290" t="str">
        <f t="shared" si="73"/>
        <v>ok</v>
      </c>
      <c r="R290" t="str">
        <f t="shared" si="74"/>
        <v>ok</v>
      </c>
      <c r="S290" t="str">
        <f t="shared" si="75"/>
        <v>ok</v>
      </c>
      <c r="T290" t="str">
        <f t="shared" si="76"/>
        <v>ok</v>
      </c>
      <c r="U290" s="99"/>
      <c r="W290" s="1825" t="s">
        <v>15</v>
      </c>
      <c r="X290" s="1822">
        <v>18706.16</v>
      </c>
    </row>
    <row r="291" spans="1:24">
      <c r="A291" s="356">
        <v>14</v>
      </c>
      <c r="B291" s="357"/>
      <c r="C291" s="358" t="s">
        <v>1791</v>
      </c>
      <c r="D291" s="359"/>
      <c r="E291" s="1078"/>
      <c r="F291" s="1078"/>
      <c r="G291" s="359" t="str">
        <f t="shared" ref="G291:G306" si="77">IF(OR(E291&lt;=0)," ",TRUNC(H291,2))</f>
        <v xml:space="preserve"> </v>
      </c>
      <c r="H291" s="361"/>
      <c r="I291" s="361" t="str">
        <f>IF(OR(E291&lt;=0)," ",TRUNC((E291*(1+$J$11)),2))</f>
        <v xml:space="preserve"> </v>
      </c>
      <c r="J291" s="362" t="str">
        <f>IF(OR(E291&lt;=0)," ",TRUNC((I291*G291),2))</f>
        <v xml:space="preserve"> </v>
      </c>
      <c r="K291" s="273" t="s">
        <v>1362</v>
      </c>
      <c r="L291" s="53"/>
      <c r="Q291" t="str">
        <f t="shared" si="73"/>
        <v>ok</v>
      </c>
      <c r="R291" t="str">
        <f t="shared" si="74"/>
        <v>ok</v>
      </c>
      <c r="S291" t="str">
        <f t="shared" si="75"/>
        <v>ok</v>
      </c>
      <c r="T291" t="str">
        <f t="shared" si="76"/>
        <v>ok</v>
      </c>
      <c r="U291" s="99"/>
      <c r="V291" t="s">
        <v>42</v>
      </c>
      <c r="W291" s="1822" t="s">
        <v>42</v>
      </c>
      <c r="X291" s="1822" t="s">
        <v>42</v>
      </c>
    </row>
    <row r="292" spans="1:24">
      <c r="A292" s="1651" t="s">
        <v>90</v>
      </c>
      <c r="B292" s="1388" t="s">
        <v>1825</v>
      </c>
      <c r="C292" s="1591" t="s">
        <v>1819</v>
      </c>
      <c r="D292" s="1390" t="s">
        <v>55</v>
      </c>
      <c r="E292" s="1330">
        <f>K292</f>
        <v>143.69999999999999</v>
      </c>
      <c r="F292" s="1320">
        <f>VLOOKUP(B292,'CADERNO DE COMPOSIÇÃO'!$A$8:$J$15448,10,FALSE)</f>
        <v>143.08000000000001</v>
      </c>
      <c r="G292" s="1674">
        <f t="shared" si="77"/>
        <v>2</v>
      </c>
      <c r="H292" s="1603">
        <v>2</v>
      </c>
      <c r="I292" s="1684">
        <f t="shared" ref="I292:I306" si="78">TRUNC(F292*(1+$J$11),2)</f>
        <v>174.88</v>
      </c>
      <c r="J292" s="77">
        <f t="shared" ref="J292:J306" si="79">TRUNC(I292*G292,2)</f>
        <v>349.76</v>
      </c>
      <c r="K292" s="566">
        <f>' COMP HIDR 1'!F171</f>
        <v>143.69999999999999</v>
      </c>
      <c r="L292" s="53"/>
      <c r="Q292" t="str">
        <f t="shared" si="73"/>
        <v>ok</v>
      </c>
      <c r="R292" t="str">
        <f t="shared" si="74"/>
        <v>ok</v>
      </c>
      <c r="S292" t="str">
        <f t="shared" si="75"/>
        <v>ok</v>
      </c>
      <c r="T292" t="str">
        <f t="shared" si="76"/>
        <v>ok</v>
      </c>
      <c r="U292" s="99">
        <v>143.69999999999999</v>
      </c>
      <c r="V292" s="1822">
        <v>2</v>
      </c>
      <c r="W292" s="1822">
        <v>175.64</v>
      </c>
      <c r="X292" s="1822">
        <v>351.28</v>
      </c>
    </row>
    <row r="293" spans="1:24" ht="61.5" customHeight="1">
      <c r="A293" s="1651" t="s">
        <v>919</v>
      </c>
      <c r="B293" s="1304">
        <v>86943</v>
      </c>
      <c r="C293" s="1496" t="s">
        <v>1828</v>
      </c>
      <c r="D293" s="1390" t="s">
        <v>55</v>
      </c>
      <c r="E293" s="1330">
        <v>262.18</v>
      </c>
      <c r="F293" s="1320">
        <f>VLOOKUP(B293,'CADERNO DE COMPOSIÇÃO'!$A$8:$J$15448,10,FALSE)</f>
        <v>260.82</v>
      </c>
      <c r="G293" s="1674">
        <f t="shared" si="77"/>
        <v>4</v>
      </c>
      <c r="H293" s="1603">
        <v>4</v>
      </c>
      <c r="I293" s="1684">
        <f t="shared" si="78"/>
        <v>318.8</v>
      </c>
      <c r="J293" s="77">
        <f t="shared" si="79"/>
        <v>1275.2</v>
      </c>
      <c r="K293" s="310"/>
      <c r="L293" s="53"/>
      <c r="Q293" t="str">
        <f t="shared" si="73"/>
        <v>ok</v>
      </c>
      <c r="R293" t="str">
        <f t="shared" si="74"/>
        <v>ok</v>
      </c>
      <c r="S293" t="str">
        <f t="shared" si="75"/>
        <v>ok</v>
      </c>
      <c r="T293" t="str">
        <f t="shared" si="76"/>
        <v>ok</v>
      </c>
      <c r="U293" s="99">
        <v>262.18</v>
      </c>
      <c r="V293" s="1822">
        <v>4</v>
      </c>
      <c r="W293" s="1822">
        <v>320.45999999999998</v>
      </c>
      <c r="X293" s="1822">
        <v>1281.8399999999999</v>
      </c>
    </row>
    <row r="294" spans="1:24" ht="28.5">
      <c r="A294" s="1651" t="s">
        <v>921</v>
      </c>
      <c r="B294" s="1304">
        <v>86903</v>
      </c>
      <c r="C294" s="1311" t="s">
        <v>1829</v>
      </c>
      <c r="D294" s="1390" t="s">
        <v>55</v>
      </c>
      <c r="E294" s="1330">
        <v>353.8</v>
      </c>
      <c r="F294" s="1320">
        <f>VLOOKUP(B294,'CADERNO DE COMPOSIÇÃO'!$A$8:$J$15448,10,FALSE)</f>
        <v>352.21</v>
      </c>
      <c r="G294" s="1674">
        <f t="shared" si="77"/>
        <v>2</v>
      </c>
      <c r="H294" s="1603">
        <v>2</v>
      </c>
      <c r="I294" s="1684">
        <f t="shared" si="78"/>
        <v>430.5</v>
      </c>
      <c r="J294" s="77">
        <f t="shared" si="79"/>
        <v>861</v>
      </c>
      <c r="K294" s="310"/>
      <c r="L294" s="53"/>
      <c r="Q294" t="str">
        <f t="shared" si="73"/>
        <v>ok</v>
      </c>
      <c r="R294" t="str">
        <f t="shared" si="74"/>
        <v>ok</v>
      </c>
      <c r="S294" t="str">
        <f t="shared" si="75"/>
        <v>ok</v>
      </c>
      <c r="T294" t="str">
        <f t="shared" si="76"/>
        <v>ok</v>
      </c>
      <c r="U294" s="99">
        <v>353.8</v>
      </c>
      <c r="V294" s="1822">
        <v>2</v>
      </c>
      <c r="W294" s="1822">
        <v>432.44</v>
      </c>
      <c r="X294" s="1822">
        <v>864.88</v>
      </c>
    </row>
    <row r="295" spans="1:24" ht="28.5">
      <c r="A295" s="1651" t="s">
        <v>923</v>
      </c>
      <c r="B295" s="1304">
        <v>86901</v>
      </c>
      <c r="C295" s="1496" t="s">
        <v>2010</v>
      </c>
      <c r="D295" s="1390" t="s">
        <v>55</v>
      </c>
      <c r="E295" s="1330">
        <v>154.6</v>
      </c>
      <c r="F295" s="1320">
        <f>VLOOKUP(B295,'CADERNO DE COMPOSIÇÃO'!$A$8:$J$15448,10,FALSE)</f>
        <v>153.94000000000003</v>
      </c>
      <c r="G295" s="1674">
        <f t="shared" si="77"/>
        <v>4</v>
      </c>
      <c r="H295" s="1603">
        <v>4</v>
      </c>
      <c r="I295" s="1684">
        <f t="shared" si="78"/>
        <v>188.16</v>
      </c>
      <c r="J295" s="77">
        <f t="shared" si="79"/>
        <v>752.64</v>
      </c>
      <c r="K295" s="310"/>
      <c r="L295" s="53"/>
      <c r="Q295" t="str">
        <f t="shared" si="73"/>
        <v>ok</v>
      </c>
      <c r="R295" t="str">
        <f t="shared" si="74"/>
        <v>ok</v>
      </c>
      <c r="S295" t="str">
        <f t="shared" si="75"/>
        <v>ok</v>
      </c>
      <c r="T295" t="str">
        <f t="shared" si="76"/>
        <v>ok</v>
      </c>
      <c r="U295" s="99">
        <v>154.6</v>
      </c>
      <c r="V295" s="1822">
        <v>4</v>
      </c>
      <c r="W295" s="1822">
        <v>188.96</v>
      </c>
      <c r="X295" s="1822">
        <v>755.84</v>
      </c>
    </row>
    <row r="296" spans="1:24" ht="28.5">
      <c r="A296" s="1651" t="s">
        <v>927</v>
      </c>
      <c r="B296" s="1304">
        <v>86900</v>
      </c>
      <c r="C296" s="1311" t="s">
        <v>2011</v>
      </c>
      <c r="D296" s="1390" t="s">
        <v>55</v>
      </c>
      <c r="E296" s="1330">
        <v>262.63</v>
      </c>
      <c r="F296" s="1320">
        <f>VLOOKUP(B296,'CADERNO DE COMPOSIÇÃO'!$A$8:$J$15448,10,FALSE)</f>
        <v>261.35000000000002</v>
      </c>
      <c r="G296" s="1674">
        <f t="shared" si="77"/>
        <v>1</v>
      </c>
      <c r="H296" s="1603">
        <v>1</v>
      </c>
      <c r="I296" s="1684">
        <f t="shared" si="78"/>
        <v>319.44</v>
      </c>
      <c r="J296" s="77">
        <f t="shared" si="79"/>
        <v>319.44</v>
      </c>
      <c r="K296" s="310"/>
      <c r="L296" s="53"/>
      <c r="Q296" t="str">
        <f t="shared" si="73"/>
        <v>ok</v>
      </c>
      <c r="R296" t="str">
        <f t="shared" si="74"/>
        <v>ok</v>
      </c>
      <c r="S296" t="str">
        <f t="shared" si="75"/>
        <v>ok</v>
      </c>
      <c r="T296" t="str">
        <f t="shared" si="76"/>
        <v>ok</v>
      </c>
      <c r="U296" s="99">
        <v>262.63</v>
      </c>
      <c r="V296" s="1822">
        <v>1</v>
      </c>
      <c r="W296" s="1822">
        <v>321.01</v>
      </c>
      <c r="X296" s="1822">
        <v>321.01</v>
      </c>
    </row>
    <row r="297" spans="1:24" ht="28.5">
      <c r="A297" s="1651" t="s">
        <v>929</v>
      </c>
      <c r="B297" s="1388">
        <v>86911</v>
      </c>
      <c r="C297" s="1328" t="s">
        <v>265</v>
      </c>
      <c r="D297" s="1390" t="s">
        <v>55</v>
      </c>
      <c r="E297" s="1330">
        <v>89.56</v>
      </c>
      <c r="F297" s="1320">
        <f>VLOOKUP(B297,'CADERNO DE COMPOSIÇÃO'!$A$8:$J$15448,10,FALSE)</f>
        <v>89.11999999999999</v>
      </c>
      <c r="G297" s="1674">
        <f t="shared" si="77"/>
        <v>1</v>
      </c>
      <c r="H297" s="1603">
        <v>1</v>
      </c>
      <c r="I297" s="1684">
        <f t="shared" si="78"/>
        <v>108.93</v>
      </c>
      <c r="J297" s="77">
        <f t="shared" si="79"/>
        <v>108.93</v>
      </c>
      <c r="K297" s="310"/>
      <c r="L297" s="53"/>
      <c r="Q297" t="str">
        <f t="shared" si="73"/>
        <v>ok</v>
      </c>
      <c r="R297" t="str">
        <f t="shared" si="74"/>
        <v>ok</v>
      </c>
      <c r="S297" t="str">
        <f t="shared" si="75"/>
        <v>ok</v>
      </c>
      <c r="T297" t="str">
        <f t="shared" si="76"/>
        <v>ok</v>
      </c>
      <c r="U297" s="99">
        <v>89.56</v>
      </c>
      <c r="V297" s="1822">
        <v>1</v>
      </c>
      <c r="W297" s="1822">
        <v>109.46</v>
      </c>
      <c r="X297" s="1822">
        <v>109.46</v>
      </c>
    </row>
    <row r="298" spans="1:24" ht="28.5">
      <c r="A298" s="1651" t="s">
        <v>960</v>
      </c>
      <c r="B298" s="1388">
        <v>86915</v>
      </c>
      <c r="C298" s="1328" t="s">
        <v>266</v>
      </c>
      <c r="D298" s="1390" t="s">
        <v>55</v>
      </c>
      <c r="E298" s="1330">
        <v>146.71</v>
      </c>
      <c r="F298" s="1320">
        <f>VLOOKUP(B298,'CADERNO DE COMPOSIÇÃO'!$A$8:$J$15448,10,FALSE)</f>
        <v>145.97000000000003</v>
      </c>
      <c r="G298" s="1674">
        <f t="shared" si="77"/>
        <v>1</v>
      </c>
      <c r="H298" s="1603">
        <v>1</v>
      </c>
      <c r="I298" s="1684">
        <f t="shared" si="78"/>
        <v>178.41</v>
      </c>
      <c r="J298" s="77">
        <f t="shared" si="79"/>
        <v>178.41</v>
      </c>
      <c r="K298" s="310"/>
      <c r="L298" s="53"/>
      <c r="Q298" t="str">
        <f t="shared" si="73"/>
        <v>ok</v>
      </c>
      <c r="R298" t="str">
        <f t="shared" si="74"/>
        <v>ok</v>
      </c>
      <c r="S298" t="str">
        <f t="shared" si="75"/>
        <v>ok</v>
      </c>
      <c r="T298" t="str">
        <f t="shared" si="76"/>
        <v>ok</v>
      </c>
      <c r="U298" s="99">
        <v>146.71</v>
      </c>
      <c r="V298" s="1822">
        <v>1</v>
      </c>
      <c r="W298" s="1822">
        <v>179.32</v>
      </c>
      <c r="X298" s="1822">
        <v>179.32</v>
      </c>
    </row>
    <row r="299" spans="1:24" ht="28.5">
      <c r="A299" s="1651" t="s">
        <v>1293</v>
      </c>
      <c r="B299" s="1388">
        <v>86914</v>
      </c>
      <c r="C299" s="1328" t="s">
        <v>267</v>
      </c>
      <c r="D299" s="1390" t="s">
        <v>55</v>
      </c>
      <c r="E299" s="1330">
        <v>100.51</v>
      </c>
      <c r="F299" s="1320">
        <f>VLOOKUP(B299,'CADERNO DE COMPOSIÇÃO'!$A$8:$J$15448,10,FALSE)</f>
        <v>100.02</v>
      </c>
      <c r="G299" s="1674">
        <f t="shared" si="77"/>
        <v>1</v>
      </c>
      <c r="H299" s="1603">
        <v>1</v>
      </c>
      <c r="I299" s="1684">
        <f t="shared" si="78"/>
        <v>122.25</v>
      </c>
      <c r="J299" s="77">
        <f t="shared" si="79"/>
        <v>122.25</v>
      </c>
      <c r="K299" s="310"/>
      <c r="L299" s="53"/>
      <c r="Q299" t="str">
        <f t="shared" si="73"/>
        <v>ok</v>
      </c>
      <c r="R299" t="str">
        <f t="shared" si="74"/>
        <v>ok</v>
      </c>
      <c r="S299" t="str">
        <f t="shared" si="75"/>
        <v>ok</v>
      </c>
      <c r="T299" t="str">
        <f t="shared" si="76"/>
        <v>ok</v>
      </c>
      <c r="U299" s="99">
        <v>100.51</v>
      </c>
      <c r="V299" s="1822">
        <v>1</v>
      </c>
      <c r="W299" s="1822">
        <v>122.85</v>
      </c>
      <c r="X299" s="1822">
        <v>122.85</v>
      </c>
    </row>
    <row r="300" spans="1:24" ht="29.25" customHeight="1">
      <c r="A300" s="1651" t="s">
        <v>1294</v>
      </c>
      <c r="B300" s="1685" t="s">
        <v>558</v>
      </c>
      <c r="C300" s="1591" t="s">
        <v>1497</v>
      </c>
      <c r="D300" s="1390" t="s">
        <v>55</v>
      </c>
      <c r="E300" s="1330">
        <f>K300</f>
        <v>410.44</v>
      </c>
      <c r="F300" s="1320">
        <f>VLOOKUP(B300,'CADERNO DE COMPOSIÇÃO'!$A$8:$J$15448,10,FALSE)</f>
        <v>408.46</v>
      </c>
      <c r="G300" s="1674">
        <f t="shared" si="77"/>
        <v>2</v>
      </c>
      <c r="H300" s="1603">
        <v>2</v>
      </c>
      <c r="I300" s="1684">
        <f t="shared" si="78"/>
        <v>499.26</v>
      </c>
      <c r="J300" s="77">
        <f t="shared" si="79"/>
        <v>998.52</v>
      </c>
      <c r="K300" s="332">
        <f>'COMP CIVIL'!F111</f>
        <v>410.44</v>
      </c>
      <c r="L300" s="53"/>
      <c r="Q300" t="str">
        <f t="shared" si="73"/>
        <v>ok</v>
      </c>
      <c r="R300" t="str">
        <f t="shared" si="74"/>
        <v>ok</v>
      </c>
      <c r="S300" t="str">
        <f t="shared" si="75"/>
        <v>ok</v>
      </c>
      <c r="T300" t="str">
        <f t="shared" si="76"/>
        <v>ok</v>
      </c>
      <c r="U300" s="99">
        <v>410.44</v>
      </c>
      <c r="V300" s="1822">
        <v>2</v>
      </c>
      <c r="W300" s="1822">
        <v>501.68</v>
      </c>
      <c r="X300" s="1822">
        <v>1003.36</v>
      </c>
    </row>
    <row r="301" spans="1:24" ht="28.5">
      <c r="A301" s="1651" t="s">
        <v>1295</v>
      </c>
      <c r="B301" s="1685" t="s">
        <v>108</v>
      </c>
      <c r="C301" s="1311" t="s">
        <v>435</v>
      </c>
      <c r="D301" s="1390" t="s">
        <v>55</v>
      </c>
      <c r="E301" s="1330">
        <f>K301</f>
        <v>309.54000000000002</v>
      </c>
      <c r="F301" s="1320">
        <f>VLOOKUP(B301,'CADERNO DE COMPOSIÇÃO'!$A$8:$J$15448,10,FALSE)</f>
        <v>308.07</v>
      </c>
      <c r="G301" s="1674">
        <f t="shared" si="77"/>
        <v>2</v>
      </c>
      <c r="H301" s="1603">
        <v>2</v>
      </c>
      <c r="I301" s="1684">
        <f t="shared" si="78"/>
        <v>376.55</v>
      </c>
      <c r="J301" s="77">
        <f t="shared" si="79"/>
        <v>753.1</v>
      </c>
      <c r="K301" s="332">
        <f>'COMP CIVIL'!F254</f>
        <v>309.54000000000002</v>
      </c>
      <c r="L301" s="53"/>
      <c r="Q301" t="str">
        <f t="shared" si="73"/>
        <v>ok</v>
      </c>
      <c r="R301" t="str">
        <f t="shared" si="74"/>
        <v>ok</v>
      </c>
      <c r="S301" t="str">
        <f t="shared" si="75"/>
        <v>ok</v>
      </c>
      <c r="T301" t="str">
        <f t="shared" si="76"/>
        <v>ok</v>
      </c>
      <c r="U301" s="99">
        <v>309.54000000000002</v>
      </c>
      <c r="V301" s="1822">
        <v>2</v>
      </c>
      <c r="W301" s="1822">
        <v>378.35</v>
      </c>
      <c r="X301" s="1822">
        <v>756.7</v>
      </c>
    </row>
    <row r="302" spans="1:24" ht="28.5">
      <c r="A302" s="1651" t="s">
        <v>1296</v>
      </c>
      <c r="B302" s="1685" t="s">
        <v>109</v>
      </c>
      <c r="C302" s="1311" t="s">
        <v>436</v>
      </c>
      <c r="D302" s="1390" t="s">
        <v>55</v>
      </c>
      <c r="E302" s="1330">
        <f>K302</f>
        <v>296.78000000000003</v>
      </c>
      <c r="F302" s="1320">
        <f>VLOOKUP(B302,'CADERNO DE COMPOSIÇÃO'!$A$8:$J$15448,10,FALSE)</f>
        <v>295.38</v>
      </c>
      <c r="G302" s="1674">
        <f t="shared" si="77"/>
        <v>2</v>
      </c>
      <c r="H302" s="1603">
        <v>2</v>
      </c>
      <c r="I302" s="1675">
        <f t="shared" si="78"/>
        <v>361.04</v>
      </c>
      <c r="J302" s="77">
        <f t="shared" si="79"/>
        <v>722.08</v>
      </c>
      <c r="K302" s="332">
        <f>'COMP CIVIL'!F266</f>
        <v>296.78000000000003</v>
      </c>
      <c r="L302" s="53"/>
      <c r="Q302" t="str">
        <f t="shared" si="73"/>
        <v>ok</v>
      </c>
      <c r="R302" t="str">
        <f t="shared" si="74"/>
        <v>ok</v>
      </c>
      <c r="S302" t="str">
        <f t="shared" si="75"/>
        <v>ok</v>
      </c>
      <c r="T302" t="str">
        <f t="shared" si="76"/>
        <v>ok</v>
      </c>
      <c r="U302" s="99">
        <v>296.78000000000003</v>
      </c>
      <c r="V302" s="1822">
        <v>2</v>
      </c>
      <c r="W302" s="1822">
        <v>362.75</v>
      </c>
      <c r="X302" s="1822">
        <v>725.5</v>
      </c>
    </row>
    <row r="303" spans="1:24" ht="28.5">
      <c r="A303" s="1651" t="s">
        <v>1297</v>
      </c>
      <c r="B303" s="1304">
        <v>95547</v>
      </c>
      <c r="C303" s="1311" t="s">
        <v>1485</v>
      </c>
      <c r="D303" s="1390" t="s">
        <v>55</v>
      </c>
      <c r="E303" s="1330">
        <v>74.5</v>
      </c>
      <c r="F303" s="1320">
        <f>VLOOKUP(B303,'CADERNO DE COMPOSIÇÃO'!$A$8:$J$15448,10,FALSE)</f>
        <v>74.160000000000011</v>
      </c>
      <c r="G303" s="1674">
        <f t="shared" si="77"/>
        <v>4</v>
      </c>
      <c r="H303" s="1603">
        <v>4</v>
      </c>
      <c r="I303" s="1675">
        <f t="shared" si="78"/>
        <v>90.64</v>
      </c>
      <c r="J303" s="77">
        <f t="shared" si="79"/>
        <v>362.56</v>
      </c>
      <c r="K303" s="222"/>
      <c r="L303" s="53"/>
      <c r="Q303" t="str">
        <f t="shared" si="73"/>
        <v>ok</v>
      </c>
      <c r="R303" t="str">
        <f t="shared" si="74"/>
        <v>ok</v>
      </c>
      <c r="S303" t="str">
        <f t="shared" si="75"/>
        <v>ok</v>
      </c>
      <c r="T303" t="str">
        <f t="shared" si="76"/>
        <v>ok</v>
      </c>
      <c r="U303" s="99">
        <v>74.5</v>
      </c>
      <c r="V303" s="1822">
        <v>4</v>
      </c>
      <c r="W303" s="1822">
        <v>91.06</v>
      </c>
      <c r="X303" s="1822">
        <v>364.24</v>
      </c>
    </row>
    <row r="304" spans="1:24" ht="43.5" customHeight="1">
      <c r="A304" s="1651" t="s">
        <v>1790</v>
      </c>
      <c r="B304" s="1495" t="s">
        <v>570</v>
      </c>
      <c r="C304" s="1591" t="s">
        <v>1486</v>
      </c>
      <c r="D304" s="1304" t="s">
        <v>46</v>
      </c>
      <c r="E304" s="1330">
        <f>K304</f>
        <v>1097.54</v>
      </c>
      <c r="F304" s="1320">
        <f>VLOOKUP(B304,'CADERNO DE COMPOSIÇÃO'!$A$8:$J$15448,10,FALSE)</f>
        <v>1092.47</v>
      </c>
      <c r="G304" s="1674">
        <f t="shared" si="77"/>
        <v>1.62</v>
      </c>
      <c r="H304" s="1603">
        <v>1.62</v>
      </c>
      <c r="I304" s="1684">
        <f t="shared" si="78"/>
        <v>1335.32</v>
      </c>
      <c r="J304" s="77">
        <f t="shared" si="79"/>
        <v>2163.21</v>
      </c>
      <c r="K304" s="332">
        <f>'COMP CIVIL'!F280</f>
        <v>1097.54</v>
      </c>
      <c r="L304" s="53"/>
      <c r="Q304" t="str">
        <f t="shared" si="73"/>
        <v>ok</v>
      </c>
      <c r="R304" t="str">
        <f t="shared" si="74"/>
        <v>ok</v>
      </c>
      <c r="S304" t="str">
        <f t="shared" si="75"/>
        <v>ok</v>
      </c>
      <c r="T304" t="str">
        <f t="shared" si="76"/>
        <v>ok</v>
      </c>
      <c r="U304" s="99">
        <v>1097.54</v>
      </c>
      <c r="V304" s="1822">
        <v>1.62</v>
      </c>
      <c r="W304" s="1822">
        <v>1341.52</v>
      </c>
      <c r="X304" s="1822">
        <v>2173.2600000000002</v>
      </c>
    </row>
    <row r="305" spans="1:24">
      <c r="A305" s="1651" t="s">
        <v>1792</v>
      </c>
      <c r="B305" s="1495" t="s">
        <v>578</v>
      </c>
      <c r="C305" s="1591" t="s">
        <v>1492</v>
      </c>
      <c r="D305" s="80" t="s">
        <v>55</v>
      </c>
      <c r="E305" s="1330">
        <f>K305</f>
        <v>85.05</v>
      </c>
      <c r="F305" s="1320">
        <f>VLOOKUP(B305,'CADERNO DE COMPOSIÇÃO'!$A$8:$J$15448,10,FALSE)</f>
        <v>84.7</v>
      </c>
      <c r="G305" s="1674">
        <f t="shared" si="77"/>
        <v>6</v>
      </c>
      <c r="H305" s="1603">
        <v>6</v>
      </c>
      <c r="I305" s="1684">
        <f t="shared" si="78"/>
        <v>103.52</v>
      </c>
      <c r="J305" s="77">
        <f t="shared" si="79"/>
        <v>621.12</v>
      </c>
      <c r="K305" s="332">
        <f>'COMP CIVIL'!F291</f>
        <v>85.05</v>
      </c>
      <c r="L305" s="53"/>
      <c r="Q305" t="str">
        <f t="shared" si="73"/>
        <v>ok</v>
      </c>
      <c r="R305" t="str">
        <f t="shared" si="74"/>
        <v>ok</v>
      </c>
      <c r="S305" t="str">
        <f t="shared" si="75"/>
        <v>ok</v>
      </c>
      <c r="T305" t="str">
        <f t="shared" si="76"/>
        <v>ok</v>
      </c>
      <c r="U305" s="99">
        <v>85.05</v>
      </c>
      <c r="V305" s="1822">
        <v>6</v>
      </c>
      <c r="W305" s="1822">
        <v>103.95</v>
      </c>
      <c r="X305" s="1822">
        <v>623.70000000000005</v>
      </c>
    </row>
    <row r="306" spans="1:24">
      <c r="A306" s="1651" t="s">
        <v>1793</v>
      </c>
      <c r="B306" s="1495" t="s">
        <v>625</v>
      </c>
      <c r="C306" s="1591" t="s">
        <v>1495</v>
      </c>
      <c r="D306" s="80" t="s">
        <v>55</v>
      </c>
      <c r="E306" s="1330">
        <f>K306</f>
        <v>85.05</v>
      </c>
      <c r="F306" s="1320">
        <f>VLOOKUP(B306,'CADERNO DE COMPOSIÇÃO'!$A$8:$J$15448,10,FALSE)</f>
        <v>84.7</v>
      </c>
      <c r="G306" s="1674">
        <f t="shared" si="77"/>
        <v>4</v>
      </c>
      <c r="H306" s="1603">
        <v>4</v>
      </c>
      <c r="I306" s="1684">
        <f t="shared" si="78"/>
        <v>103.52</v>
      </c>
      <c r="J306" s="77">
        <f t="shared" si="79"/>
        <v>414.08</v>
      </c>
      <c r="K306" s="332">
        <f>'COMP CIVIL'!F302</f>
        <v>85.05</v>
      </c>
      <c r="L306" s="53"/>
      <c r="Q306" t="str">
        <f t="shared" si="73"/>
        <v>ok</v>
      </c>
      <c r="R306" t="str">
        <f t="shared" si="74"/>
        <v>ok</v>
      </c>
      <c r="S306" t="str">
        <f t="shared" si="75"/>
        <v>ok</v>
      </c>
      <c r="T306" t="str">
        <f t="shared" si="76"/>
        <v>ok</v>
      </c>
      <c r="U306" s="99">
        <v>85.05</v>
      </c>
      <c r="V306" s="1822">
        <v>4</v>
      </c>
      <c r="W306" s="1822">
        <v>103.95</v>
      </c>
      <c r="X306" s="1822">
        <v>415.8</v>
      </c>
    </row>
    <row r="307" spans="1:24">
      <c r="A307" s="1487"/>
      <c r="B307" s="1614"/>
      <c r="C307" s="1614"/>
      <c r="D307" s="1614"/>
      <c r="E307" s="1615"/>
      <c r="F307" s="1615"/>
      <c r="G307" s="1616"/>
      <c r="H307" s="1754"/>
      <c r="I307" s="1422" t="s">
        <v>15</v>
      </c>
      <c r="J307" s="1755">
        <f>TRUNC(SUM(J292:J306),2)</f>
        <v>10002.299999999999</v>
      </c>
      <c r="K307" s="310"/>
      <c r="L307" s="53"/>
      <c r="Q307" t="str">
        <f t="shared" si="73"/>
        <v>ok</v>
      </c>
      <c r="R307" t="str">
        <f t="shared" si="74"/>
        <v>ok</v>
      </c>
      <c r="S307" t="str">
        <f t="shared" si="75"/>
        <v>ok</v>
      </c>
      <c r="T307" t="str">
        <f t="shared" si="76"/>
        <v>ok</v>
      </c>
      <c r="U307" s="99"/>
      <c r="W307" s="1825" t="s">
        <v>15</v>
      </c>
      <c r="X307" s="1822">
        <v>10049.040000000001</v>
      </c>
    </row>
    <row r="308" spans="1:24">
      <c r="A308" s="1672">
        <v>15</v>
      </c>
      <c r="B308" s="1617"/>
      <c r="C308" s="1618" t="s">
        <v>269</v>
      </c>
      <c r="D308" s="1620"/>
      <c r="E308" s="1621"/>
      <c r="F308" s="1621"/>
      <c r="G308" s="1620"/>
      <c r="H308" s="1622"/>
      <c r="I308" s="1622"/>
      <c r="J308" s="1673"/>
      <c r="K308" s="273"/>
      <c r="L308" s="53"/>
      <c r="Q308" t="str">
        <f t="shared" si="73"/>
        <v>ok</v>
      </c>
      <c r="R308" t="str">
        <f t="shared" si="74"/>
        <v>ok</v>
      </c>
      <c r="S308" t="str">
        <f t="shared" si="75"/>
        <v>ok</v>
      </c>
      <c r="T308" t="str">
        <f t="shared" si="76"/>
        <v>ok</v>
      </c>
      <c r="U308" s="99"/>
      <c r="W308" s="1822"/>
      <c r="X308" s="1822"/>
    </row>
    <row r="309" spans="1:24" ht="14.25" customHeight="1">
      <c r="A309" s="1686" t="s">
        <v>609</v>
      </c>
      <c r="B309" s="1687"/>
      <c r="C309" s="1688" t="s">
        <v>1726</v>
      </c>
      <c r="D309" s="1689"/>
      <c r="E309" s="1690"/>
      <c r="F309" s="1690"/>
      <c r="G309" s="1691"/>
      <c r="H309" s="1692"/>
      <c r="I309" s="1691"/>
      <c r="J309" s="1198"/>
      <c r="K309" s="273" t="s">
        <v>1366</v>
      </c>
      <c r="L309" s="53"/>
      <c r="Q309" t="str">
        <f t="shared" si="73"/>
        <v>ok</v>
      </c>
      <c r="R309" t="str">
        <f t="shared" si="74"/>
        <v>ok</v>
      </c>
      <c r="S309" t="str">
        <f t="shared" si="75"/>
        <v>ok</v>
      </c>
      <c r="T309" t="str">
        <f t="shared" si="76"/>
        <v>ok</v>
      </c>
      <c r="U309" s="99"/>
      <c r="V309" s="1822"/>
      <c r="W309" s="1822"/>
      <c r="X309" s="1822"/>
    </row>
    <row r="310" spans="1:24" ht="45.75" customHeight="1">
      <c r="A310" s="1493" t="s">
        <v>1298</v>
      </c>
      <c r="B310" s="1118">
        <v>89707</v>
      </c>
      <c r="C310" s="1494" t="s">
        <v>165</v>
      </c>
      <c r="D310" s="1386" t="s">
        <v>55</v>
      </c>
      <c r="E310" s="1073">
        <v>50.64</v>
      </c>
      <c r="F310" s="1320">
        <f>VLOOKUP(B310,'CADERNO DE COMPOSIÇÃO'!$A$8:$J$15448,10,FALSE)</f>
        <v>50.470000000000006</v>
      </c>
      <c r="G310" s="1079">
        <f t="shared" ref="G310:G335" si="80">IF(OR(E310&lt;=0)," ",TRUNC(H310,2))</f>
        <v>1</v>
      </c>
      <c r="H310" s="1108">
        <v>1</v>
      </c>
      <c r="I310" s="1034">
        <f t="shared" ref="I310:I335" si="81">TRUNC(F310*(1+$J$11),2)</f>
        <v>61.68</v>
      </c>
      <c r="J310" s="1037">
        <f t="shared" ref="J310:J335" si="82">TRUNC(I310*G310,2)</f>
        <v>61.68</v>
      </c>
      <c r="K310" s="516" t="s">
        <v>457</v>
      </c>
      <c r="L310" s="53"/>
      <c r="Q310" t="str">
        <f t="shared" si="73"/>
        <v>ok</v>
      </c>
      <c r="R310" t="str">
        <f t="shared" si="74"/>
        <v>ok</v>
      </c>
      <c r="S310" t="str">
        <f t="shared" si="75"/>
        <v>ok</v>
      </c>
      <c r="T310" t="str">
        <f t="shared" si="76"/>
        <v>ok</v>
      </c>
      <c r="U310" s="99">
        <v>50.64</v>
      </c>
      <c r="V310" s="1822">
        <v>1</v>
      </c>
      <c r="W310" s="1822">
        <v>61.89</v>
      </c>
      <c r="X310" s="1822">
        <v>61.89</v>
      </c>
    </row>
    <row r="311" spans="1:24" ht="33" customHeight="1">
      <c r="A311" s="1651" t="s">
        <v>1299</v>
      </c>
      <c r="B311" s="1388" t="s">
        <v>486</v>
      </c>
      <c r="C311" s="1642" t="s">
        <v>270</v>
      </c>
      <c r="D311" s="1390" t="s">
        <v>55</v>
      </c>
      <c r="E311" s="1314">
        <f>K311</f>
        <v>67</v>
      </c>
      <c r="F311" s="1320">
        <f>VLOOKUP(B311,'CADERNO DE COMPOSIÇÃO'!$A$8:$J$15448,10,FALSE)</f>
        <v>66.709999999999994</v>
      </c>
      <c r="G311" s="1372">
        <f t="shared" si="80"/>
        <v>5</v>
      </c>
      <c r="H311" s="1379">
        <v>5</v>
      </c>
      <c r="I311" s="1374">
        <f t="shared" si="81"/>
        <v>81.53</v>
      </c>
      <c r="J311" s="77">
        <f t="shared" si="82"/>
        <v>407.65</v>
      </c>
      <c r="K311" s="622">
        <f>' COMP HIDR 1'!F187</f>
        <v>67</v>
      </c>
      <c r="L311" s="53"/>
      <c r="Q311" t="str">
        <f t="shared" si="73"/>
        <v>ok</v>
      </c>
      <c r="R311" t="str">
        <f t="shared" si="74"/>
        <v>ok</v>
      </c>
      <c r="S311" t="str">
        <f t="shared" si="75"/>
        <v>ok</v>
      </c>
      <c r="T311" t="str">
        <f t="shared" si="76"/>
        <v>ok</v>
      </c>
      <c r="U311" s="99">
        <v>67</v>
      </c>
      <c r="V311" s="1822">
        <v>5</v>
      </c>
      <c r="W311" s="1822">
        <v>81.89</v>
      </c>
      <c r="X311" s="1822">
        <v>409.45</v>
      </c>
    </row>
    <row r="312" spans="1:24" ht="47.25" customHeight="1">
      <c r="A312" s="1639" t="s">
        <v>1300</v>
      </c>
      <c r="B312" s="1640">
        <v>89732</v>
      </c>
      <c r="C312" s="1637" t="s">
        <v>169</v>
      </c>
      <c r="D312" s="80" t="s">
        <v>55</v>
      </c>
      <c r="E312" s="1074">
        <v>16.170000000000002</v>
      </c>
      <c r="F312" s="1320">
        <f>VLOOKUP(B312,'CADERNO DE COMPOSIÇÃO'!$A$8:$J$15448,10,FALSE)</f>
        <v>16.09</v>
      </c>
      <c r="G312" s="1369">
        <f t="shared" si="80"/>
        <v>4</v>
      </c>
      <c r="H312" s="1641">
        <v>4</v>
      </c>
      <c r="I312" s="1370">
        <f t="shared" si="81"/>
        <v>19.66</v>
      </c>
      <c r="J312" s="1371">
        <f t="shared" si="82"/>
        <v>78.64</v>
      </c>
      <c r="K312" s="515"/>
      <c r="L312" s="122"/>
      <c r="Q312" t="str">
        <f t="shared" si="73"/>
        <v>ok</v>
      </c>
      <c r="R312" t="str">
        <f t="shared" si="74"/>
        <v>ok</v>
      </c>
      <c r="S312" t="str">
        <f t="shared" si="75"/>
        <v>ok</v>
      </c>
      <c r="T312" t="str">
        <f t="shared" si="76"/>
        <v>ok</v>
      </c>
      <c r="U312" s="99">
        <v>16.170000000000002</v>
      </c>
      <c r="V312" s="1822">
        <v>4</v>
      </c>
      <c r="W312" s="1822">
        <v>19.760000000000002</v>
      </c>
      <c r="X312" s="1822">
        <v>79.040000000000006</v>
      </c>
    </row>
    <row r="313" spans="1:24" ht="45.75" customHeight="1">
      <c r="A313" s="1693" t="s">
        <v>1301</v>
      </c>
      <c r="B313" s="1376">
        <v>89746</v>
      </c>
      <c r="C313" s="1642" t="s">
        <v>271</v>
      </c>
      <c r="D313" s="80" t="s">
        <v>55</v>
      </c>
      <c r="E313" s="1314">
        <v>31.02</v>
      </c>
      <c r="F313" s="1320">
        <f>VLOOKUP(B313,'CADERNO DE COMPOSIÇÃO'!$A$8:$J$15448,10,FALSE)</f>
        <v>30.9</v>
      </c>
      <c r="G313" s="1372">
        <f t="shared" si="80"/>
        <v>7</v>
      </c>
      <c r="H313" s="1379">
        <v>7</v>
      </c>
      <c r="I313" s="1374">
        <f t="shared" si="81"/>
        <v>37.76</v>
      </c>
      <c r="J313" s="77">
        <f t="shared" si="82"/>
        <v>264.32</v>
      </c>
      <c r="K313" s="515"/>
      <c r="L313" s="122"/>
      <c r="Q313" t="str">
        <f t="shared" si="73"/>
        <v>ok</v>
      </c>
      <c r="R313" t="str">
        <f t="shared" si="74"/>
        <v>ok</v>
      </c>
      <c r="S313" t="str">
        <f t="shared" si="75"/>
        <v>ok</v>
      </c>
      <c r="T313" t="str">
        <f t="shared" si="76"/>
        <v>ok</v>
      </c>
      <c r="U313" s="99">
        <v>31.02</v>
      </c>
      <c r="V313" s="1822">
        <v>7</v>
      </c>
      <c r="W313" s="1822">
        <v>37.909999999999997</v>
      </c>
      <c r="X313" s="1822">
        <v>265.37</v>
      </c>
    </row>
    <row r="314" spans="1:24" ht="46.5" customHeight="1">
      <c r="A314" s="1693" t="s">
        <v>1302</v>
      </c>
      <c r="B314" s="1376">
        <v>89737</v>
      </c>
      <c r="C314" s="1311" t="s">
        <v>1988</v>
      </c>
      <c r="D314" s="80" t="s">
        <v>55</v>
      </c>
      <c r="E314" s="1314">
        <v>24.9</v>
      </c>
      <c r="F314" s="1320">
        <f>VLOOKUP(B314,'CADERNO DE COMPOSIÇÃO'!$A$8:$J$15448,10,FALSE)</f>
        <v>24.799999999999997</v>
      </c>
      <c r="G314" s="1372">
        <f t="shared" si="80"/>
        <v>2</v>
      </c>
      <c r="H314" s="1379">
        <v>2</v>
      </c>
      <c r="I314" s="1374">
        <f t="shared" si="81"/>
        <v>30.31</v>
      </c>
      <c r="J314" s="77">
        <f t="shared" si="82"/>
        <v>60.62</v>
      </c>
      <c r="K314" s="515"/>
      <c r="L314" s="165"/>
      <c r="Q314" t="str">
        <f t="shared" si="73"/>
        <v>ok</v>
      </c>
      <c r="R314" t="str">
        <f t="shared" si="74"/>
        <v>ok</v>
      </c>
      <c r="S314" t="str">
        <f t="shared" si="75"/>
        <v>ok</v>
      </c>
      <c r="T314" t="str">
        <f t="shared" si="76"/>
        <v>ok</v>
      </c>
      <c r="U314" s="99">
        <v>24.9</v>
      </c>
      <c r="V314" s="1822">
        <v>2</v>
      </c>
      <c r="W314" s="1822">
        <v>30.43</v>
      </c>
      <c r="X314" s="1822">
        <v>60.86</v>
      </c>
    </row>
    <row r="315" spans="1:24" ht="47.25" customHeight="1">
      <c r="A315" s="1693" t="s">
        <v>1303</v>
      </c>
      <c r="B315" s="1376">
        <v>89724</v>
      </c>
      <c r="C315" s="1311" t="s">
        <v>1987</v>
      </c>
      <c r="D315" s="80" t="s">
        <v>55</v>
      </c>
      <c r="E315" s="1314">
        <v>12.96</v>
      </c>
      <c r="F315" s="1320">
        <f>VLOOKUP(B315,'CADERNO DE COMPOSIÇÃO'!$A$8:$J$15448,10,FALSE)</f>
        <v>12.91</v>
      </c>
      <c r="G315" s="1372">
        <f t="shared" si="80"/>
        <v>7</v>
      </c>
      <c r="H315" s="1379">
        <v>7</v>
      </c>
      <c r="I315" s="1374">
        <f t="shared" si="81"/>
        <v>15.77</v>
      </c>
      <c r="J315" s="77">
        <f t="shared" si="82"/>
        <v>110.39</v>
      </c>
      <c r="K315" s="515"/>
      <c r="L315" s="122"/>
      <c r="Q315" t="str">
        <f t="shared" si="73"/>
        <v>ok</v>
      </c>
      <c r="R315" t="str">
        <f t="shared" si="74"/>
        <v>ok</v>
      </c>
      <c r="S315" t="str">
        <f t="shared" si="75"/>
        <v>ok</v>
      </c>
      <c r="T315" t="str">
        <f t="shared" si="76"/>
        <v>ok</v>
      </c>
      <c r="U315" s="99">
        <v>12.96</v>
      </c>
      <c r="V315" s="1822">
        <v>7</v>
      </c>
      <c r="W315" s="1822">
        <v>15.84</v>
      </c>
      <c r="X315" s="1822">
        <v>110.88</v>
      </c>
    </row>
    <row r="316" spans="1:24" ht="48" customHeight="1">
      <c r="A316" s="1693" t="s">
        <v>1304</v>
      </c>
      <c r="B316" s="1376">
        <v>89731</v>
      </c>
      <c r="C316" s="1642" t="s">
        <v>272</v>
      </c>
      <c r="D316" s="80" t="s">
        <v>55</v>
      </c>
      <c r="E316" s="1314">
        <v>15.29</v>
      </c>
      <c r="F316" s="1320">
        <f>VLOOKUP(B316,'CADERNO DE COMPOSIÇÃO'!$A$8:$J$15448,10,FALSE)</f>
        <v>15.22</v>
      </c>
      <c r="G316" s="1372">
        <f t="shared" si="80"/>
        <v>7</v>
      </c>
      <c r="H316" s="1379">
        <v>7</v>
      </c>
      <c r="I316" s="1374">
        <f t="shared" si="81"/>
        <v>18.600000000000001</v>
      </c>
      <c r="J316" s="77">
        <f t="shared" si="82"/>
        <v>130.19999999999999</v>
      </c>
      <c r="K316" s="515"/>
      <c r="L316" s="122"/>
      <c r="Q316" t="str">
        <f t="shared" si="73"/>
        <v>ok</v>
      </c>
      <c r="R316" t="str">
        <f t="shared" si="74"/>
        <v>ok</v>
      </c>
      <c r="S316" t="str">
        <f t="shared" si="75"/>
        <v>ok</v>
      </c>
      <c r="T316" t="str">
        <f t="shared" si="76"/>
        <v>ok</v>
      </c>
      <c r="U316" s="99">
        <v>15.29</v>
      </c>
      <c r="V316" s="1822">
        <v>7</v>
      </c>
      <c r="W316" s="1822">
        <v>18.68</v>
      </c>
      <c r="X316" s="1822">
        <v>130.76</v>
      </c>
    </row>
    <row r="317" spans="1:24" ht="46.5" customHeight="1">
      <c r="A317" s="1693" t="s">
        <v>1305</v>
      </c>
      <c r="B317" s="1376">
        <v>89744</v>
      </c>
      <c r="C317" s="1642" t="s">
        <v>273</v>
      </c>
      <c r="D317" s="80" t="s">
        <v>55</v>
      </c>
      <c r="E317" s="1314">
        <v>31.1</v>
      </c>
      <c r="F317" s="1320">
        <f>VLOOKUP(B317,'CADERNO DE COMPOSIÇÃO'!$A$8:$J$15448,10,FALSE)</f>
        <v>30.97</v>
      </c>
      <c r="G317" s="1372">
        <f t="shared" si="80"/>
        <v>7</v>
      </c>
      <c r="H317" s="1379">
        <v>7</v>
      </c>
      <c r="I317" s="1374">
        <f t="shared" si="81"/>
        <v>37.85</v>
      </c>
      <c r="J317" s="77">
        <f t="shared" si="82"/>
        <v>264.95</v>
      </c>
      <c r="K317" s="515"/>
      <c r="L317" s="122"/>
      <c r="Q317" t="str">
        <f t="shared" si="73"/>
        <v>ok</v>
      </c>
      <c r="R317" t="str">
        <f t="shared" si="74"/>
        <v>ok</v>
      </c>
      <c r="S317" t="str">
        <f t="shared" si="75"/>
        <v>ok</v>
      </c>
      <c r="T317" t="str">
        <f t="shared" si="76"/>
        <v>ok</v>
      </c>
      <c r="U317" s="99">
        <v>31.1</v>
      </c>
      <c r="V317" s="1822">
        <v>7</v>
      </c>
      <c r="W317" s="1822">
        <v>38.01</v>
      </c>
      <c r="X317" s="1822">
        <v>266.07</v>
      </c>
    </row>
    <row r="318" spans="1:24" ht="19.5" customHeight="1">
      <c r="A318" s="1693" t="s">
        <v>1306</v>
      </c>
      <c r="B318" s="1376" t="s">
        <v>1989</v>
      </c>
      <c r="C318" s="1642" t="s">
        <v>1990</v>
      </c>
      <c r="D318" s="80" t="s">
        <v>55</v>
      </c>
      <c r="E318" s="1314">
        <f>K318</f>
        <v>41.78</v>
      </c>
      <c r="F318" s="1320">
        <f>VLOOKUP(B318,'CADERNO DE COMPOSIÇÃO'!$A$8:$J$15448,10,FALSE)</f>
        <v>41.61</v>
      </c>
      <c r="G318" s="1372">
        <f t="shared" si="80"/>
        <v>7</v>
      </c>
      <c r="H318" s="1379">
        <v>7</v>
      </c>
      <c r="I318" s="1374">
        <f t="shared" si="81"/>
        <v>50.85</v>
      </c>
      <c r="J318" s="77">
        <f t="shared" si="82"/>
        <v>355.95</v>
      </c>
      <c r="K318" s="622">
        <f>' COMP HIDR 1'!F199</f>
        <v>41.78</v>
      </c>
      <c r="L318" s="122"/>
      <c r="Q318" t="str">
        <f t="shared" si="73"/>
        <v>ok</v>
      </c>
      <c r="R318" t="str">
        <f t="shared" si="74"/>
        <v>ok</v>
      </c>
      <c r="S318" t="str">
        <f t="shared" si="75"/>
        <v>ok</v>
      </c>
      <c r="T318" t="str">
        <f t="shared" si="76"/>
        <v>ok</v>
      </c>
      <c r="U318" s="99">
        <v>41.78</v>
      </c>
      <c r="V318" s="1822">
        <v>7</v>
      </c>
      <c r="W318" s="1822">
        <v>51.06</v>
      </c>
      <c r="X318" s="1822">
        <v>357.42</v>
      </c>
    </row>
    <row r="319" spans="1:24" ht="49.5" customHeight="1">
      <c r="A319" s="1693" t="s">
        <v>1307</v>
      </c>
      <c r="B319" s="1376" t="s">
        <v>1993</v>
      </c>
      <c r="C319" s="1694" t="s">
        <v>1975</v>
      </c>
      <c r="D319" s="80" t="s">
        <v>55</v>
      </c>
      <c r="E319" s="1314">
        <f>K319</f>
        <v>42.08</v>
      </c>
      <c r="F319" s="1320">
        <f>VLOOKUP(B319,'CADERNO DE COMPOSIÇÃO'!$A$8:$J$15448,10,FALSE)</f>
        <v>41.9</v>
      </c>
      <c r="G319" s="1372">
        <f t="shared" si="80"/>
        <v>2</v>
      </c>
      <c r="H319" s="1379">
        <v>2</v>
      </c>
      <c r="I319" s="1374">
        <f t="shared" si="81"/>
        <v>51.21</v>
      </c>
      <c r="J319" s="77">
        <f t="shared" si="82"/>
        <v>102.42</v>
      </c>
      <c r="K319" s="622">
        <f>' COMP HIDR 1'!F213</f>
        <v>42.08</v>
      </c>
      <c r="L319" s="122"/>
      <c r="Q319" t="str">
        <f t="shared" si="73"/>
        <v>ok</v>
      </c>
      <c r="R319" t="str">
        <f t="shared" si="74"/>
        <v>ok</v>
      </c>
      <c r="S319" t="str">
        <f t="shared" si="75"/>
        <v>ok</v>
      </c>
      <c r="T319" t="str">
        <f t="shared" si="76"/>
        <v>ok</v>
      </c>
      <c r="U319" s="99">
        <v>42.08</v>
      </c>
      <c r="V319" s="1822">
        <v>2</v>
      </c>
      <c r="W319" s="1822">
        <v>51.43</v>
      </c>
      <c r="X319" s="1822">
        <v>102.86</v>
      </c>
    </row>
    <row r="320" spans="1:24" ht="49.5" customHeight="1">
      <c r="A320" s="1693" t="s">
        <v>1308</v>
      </c>
      <c r="B320" s="1594">
        <v>89785</v>
      </c>
      <c r="C320" s="1311" t="s">
        <v>1976</v>
      </c>
      <c r="D320" s="80" t="s">
        <v>55</v>
      </c>
      <c r="E320" s="1314">
        <v>29.14</v>
      </c>
      <c r="F320" s="1320">
        <f>VLOOKUP(B320,'CADERNO DE COMPOSIÇÃO'!$A$8:$J$15448,10,FALSE)</f>
        <v>29</v>
      </c>
      <c r="G320" s="1372">
        <f t="shared" si="80"/>
        <v>2</v>
      </c>
      <c r="H320" s="1379">
        <v>2</v>
      </c>
      <c r="I320" s="1374">
        <f t="shared" si="81"/>
        <v>35.44</v>
      </c>
      <c r="J320" s="77">
        <f t="shared" si="82"/>
        <v>70.88</v>
      </c>
      <c r="K320" s="515"/>
      <c r="L320" s="122"/>
      <c r="Q320" t="str">
        <f t="shared" si="73"/>
        <v>ok</v>
      </c>
      <c r="R320" t="str">
        <f t="shared" si="74"/>
        <v>ok</v>
      </c>
      <c r="S320" t="str">
        <f t="shared" si="75"/>
        <v>ok</v>
      </c>
      <c r="T320" t="str">
        <f t="shared" si="76"/>
        <v>ok</v>
      </c>
      <c r="U320" s="99">
        <v>29.14</v>
      </c>
      <c r="V320" s="1822">
        <v>2</v>
      </c>
      <c r="W320" s="1822">
        <v>35.61</v>
      </c>
      <c r="X320" s="1822">
        <v>71.22</v>
      </c>
    </row>
    <row r="321" spans="1:24" ht="42.75">
      <c r="A321" s="1651" t="s">
        <v>1309</v>
      </c>
      <c r="B321" s="1695">
        <v>89797</v>
      </c>
      <c r="C321" s="1694" t="s">
        <v>170</v>
      </c>
      <c r="D321" s="1390" t="s">
        <v>55</v>
      </c>
      <c r="E321" s="1314">
        <v>58.26</v>
      </c>
      <c r="F321" s="1320">
        <f>VLOOKUP(B321,'CADERNO DE COMPOSIÇÃO'!$A$8:$J$15448,10,FALSE)</f>
        <v>58.01</v>
      </c>
      <c r="G321" s="1372">
        <f t="shared" si="80"/>
        <v>4</v>
      </c>
      <c r="H321" s="1379">
        <v>4</v>
      </c>
      <c r="I321" s="1374">
        <f t="shared" si="81"/>
        <v>70.900000000000006</v>
      </c>
      <c r="J321" s="77">
        <f t="shared" si="82"/>
        <v>283.60000000000002</v>
      </c>
      <c r="K321" s="515"/>
      <c r="L321" s="122"/>
      <c r="Q321" t="str">
        <f t="shared" si="73"/>
        <v>ok</v>
      </c>
      <c r="R321" t="str">
        <f t="shared" si="74"/>
        <v>ok</v>
      </c>
      <c r="S321" t="str">
        <f t="shared" si="75"/>
        <v>ok</v>
      </c>
      <c r="T321" t="str">
        <f t="shared" si="76"/>
        <v>ok</v>
      </c>
      <c r="U321" s="99">
        <v>58.26</v>
      </c>
      <c r="V321" s="1822">
        <v>4</v>
      </c>
      <c r="W321" s="1822">
        <v>71.209999999999994</v>
      </c>
      <c r="X321" s="1822">
        <v>284.83999999999997</v>
      </c>
    </row>
    <row r="322" spans="1:24" ht="42.75">
      <c r="A322" s="1651" t="s">
        <v>1310</v>
      </c>
      <c r="B322" s="1376">
        <v>89711</v>
      </c>
      <c r="C322" s="1642" t="s">
        <v>167</v>
      </c>
      <c r="D322" s="1696" t="s">
        <v>54</v>
      </c>
      <c r="E322" s="1314">
        <v>21.07</v>
      </c>
      <c r="F322" s="1320">
        <f>VLOOKUP(B322,'CADERNO DE COMPOSIÇÃO'!$A$8:$J$15448,10,FALSE)</f>
        <v>21.03</v>
      </c>
      <c r="G322" s="1372">
        <f t="shared" si="80"/>
        <v>9.7200000000000006</v>
      </c>
      <c r="H322" s="1379">
        <v>9.7200000000000006</v>
      </c>
      <c r="I322" s="1374">
        <f t="shared" si="81"/>
        <v>25.7</v>
      </c>
      <c r="J322" s="77">
        <f t="shared" si="82"/>
        <v>249.8</v>
      </c>
      <c r="K322" s="226"/>
      <c r="L322" s="122"/>
      <c r="Q322" t="str">
        <f t="shared" si="73"/>
        <v>ok</v>
      </c>
      <c r="R322" t="str">
        <f t="shared" si="74"/>
        <v>ok</v>
      </c>
      <c r="S322" t="str">
        <f t="shared" si="75"/>
        <v>ok</v>
      </c>
      <c r="T322" t="str">
        <f t="shared" si="76"/>
        <v>ok</v>
      </c>
      <c r="U322" s="99">
        <v>21.07</v>
      </c>
      <c r="V322" s="1822">
        <v>9.7200000000000006</v>
      </c>
      <c r="W322" s="1822">
        <v>25.75</v>
      </c>
      <c r="X322" s="1822">
        <v>250.29</v>
      </c>
    </row>
    <row r="323" spans="1:24" ht="42.75">
      <c r="A323" s="1693" t="s">
        <v>1311</v>
      </c>
      <c r="B323" s="1376">
        <v>89712</v>
      </c>
      <c r="C323" s="1642" t="s">
        <v>168</v>
      </c>
      <c r="D323" s="1696" t="s">
        <v>54</v>
      </c>
      <c r="E323" s="1314">
        <v>27.77</v>
      </c>
      <c r="F323" s="1320">
        <f>VLOOKUP(B323,'CADERNO DE COMPOSIÇÃO'!$A$8:$J$15448,10,FALSE)</f>
        <v>27.69</v>
      </c>
      <c r="G323" s="1372">
        <f t="shared" si="80"/>
        <v>29.38</v>
      </c>
      <c r="H323" s="1379">
        <v>29.38</v>
      </c>
      <c r="I323" s="1374">
        <f t="shared" si="81"/>
        <v>33.840000000000003</v>
      </c>
      <c r="J323" s="77">
        <f t="shared" si="82"/>
        <v>994.21</v>
      </c>
      <c r="K323" s="226"/>
      <c r="L323" s="122"/>
      <c r="Q323" t="str">
        <f t="shared" si="73"/>
        <v>ok</v>
      </c>
      <c r="R323" t="str">
        <f t="shared" si="74"/>
        <v>ok</v>
      </c>
      <c r="S323" t="str">
        <f t="shared" si="75"/>
        <v>ok</v>
      </c>
      <c r="T323" t="str">
        <f t="shared" si="76"/>
        <v>ok</v>
      </c>
      <c r="U323" s="99">
        <v>27.77</v>
      </c>
      <c r="V323" s="1822">
        <v>29.38</v>
      </c>
      <c r="W323" s="1822">
        <v>33.94</v>
      </c>
      <c r="X323" s="1822">
        <v>997.15</v>
      </c>
    </row>
    <row r="324" spans="1:24" ht="49.5" customHeight="1">
      <c r="A324" s="1693" t="s">
        <v>1312</v>
      </c>
      <c r="B324" s="1376">
        <v>89714</v>
      </c>
      <c r="C324" s="1642" t="s">
        <v>166</v>
      </c>
      <c r="D324" s="1696" t="s">
        <v>54</v>
      </c>
      <c r="E324" s="1073">
        <v>41.92</v>
      </c>
      <c r="F324" s="1320">
        <f>VLOOKUP(B324,'CADERNO DE COMPOSIÇÃO'!$A$8:$J$15448,10,FALSE)</f>
        <v>41.8</v>
      </c>
      <c r="G324" s="1372">
        <f t="shared" si="80"/>
        <v>22.94</v>
      </c>
      <c r="H324" s="1379">
        <v>22.94</v>
      </c>
      <c r="I324" s="1374">
        <f t="shared" si="81"/>
        <v>51.09</v>
      </c>
      <c r="J324" s="77">
        <f t="shared" si="82"/>
        <v>1172</v>
      </c>
      <c r="K324" s="226"/>
      <c r="L324" s="122"/>
      <c r="Q324" t="str">
        <f t="shared" si="73"/>
        <v>ok</v>
      </c>
      <c r="R324" t="str">
        <f t="shared" si="74"/>
        <v>ok</v>
      </c>
      <c r="S324" t="str">
        <f t="shared" si="75"/>
        <v>ok</v>
      </c>
      <c r="T324" t="str">
        <f t="shared" si="76"/>
        <v>ok</v>
      </c>
      <c r="U324" s="99">
        <v>41.92</v>
      </c>
      <c r="V324" s="1822">
        <v>22.94</v>
      </c>
      <c r="W324" s="1822">
        <v>51.23</v>
      </c>
      <c r="X324" s="1822">
        <v>1175.21</v>
      </c>
    </row>
    <row r="325" spans="1:24" ht="63" customHeight="1">
      <c r="A325" s="1693" t="s">
        <v>1313</v>
      </c>
      <c r="B325" s="1594">
        <v>91794</v>
      </c>
      <c r="C325" s="1311" t="s">
        <v>1996</v>
      </c>
      <c r="D325" s="1696" t="s">
        <v>54</v>
      </c>
      <c r="E325" s="1314">
        <v>50.05</v>
      </c>
      <c r="F325" s="1320">
        <f>VLOOKUP(B325,'CADERNO DE COMPOSIÇÃO'!$A$8:$J$15448,10,FALSE)</f>
        <v>49.759999999999991</v>
      </c>
      <c r="G325" s="1372">
        <f t="shared" si="80"/>
        <v>1.84</v>
      </c>
      <c r="H325" s="1379">
        <v>1.84</v>
      </c>
      <c r="I325" s="1374">
        <f t="shared" si="81"/>
        <v>60.82</v>
      </c>
      <c r="J325" s="77">
        <f t="shared" si="82"/>
        <v>111.9</v>
      </c>
      <c r="K325" s="514"/>
      <c r="L325" s="122"/>
      <c r="Q325" t="str">
        <f t="shared" si="73"/>
        <v>ok</v>
      </c>
      <c r="R325" t="str">
        <f t="shared" si="74"/>
        <v>ok</v>
      </c>
      <c r="S325" t="str">
        <f t="shared" si="75"/>
        <v>ok</v>
      </c>
      <c r="T325" t="str">
        <f t="shared" si="76"/>
        <v>ok</v>
      </c>
      <c r="U325" s="99">
        <v>50.05</v>
      </c>
      <c r="V325" s="1822">
        <v>1.84</v>
      </c>
      <c r="W325" s="1822">
        <v>61.17</v>
      </c>
      <c r="X325" s="1822">
        <v>112.55</v>
      </c>
    </row>
    <row r="326" spans="1:24" ht="42.75">
      <c r="A326" s="1493" t="s">
        <v>1314</v>
      </c>
      <c r="B326" s="1118">
        <v>89784</v>
      </c>
      <c r="C326" s="1494" t="s">
        <v>1997</v>
      </c>
      <c r="D326" s="1386" t="s">
        <v>55</v>
      </c>
      <c r="E326" s="1073">
        <v>26.64</v>
      </c>
      <c r="F326" s="1320">
        <f>VLOOKUP(B326,'CADERNO DE COMPOSIÇÃO'!$A$8:$J$15448,10,FALSE)</f>
        <v>26.509999999999998</v>
      </c>
      <c r="G326" s="1079">
        <f t="shared" si="80"/>
        <v>5</v>
      </c>
      <c r="H326" s="1108">
        <v>5</v>
      </c>
      <c r="I326" s="1034">
        <f t="shared" si="81"/>
        <v>32.4</v>
      </c>
      <c r="J326" s="1037">
        <f t="shared" si="82"/>
        <v>162</v>
      </c>
      <c r="K326" s="226"/>
      <c r="L326" s="122"/>
      <c r="Q326" t="str">
        <f t="shared" si="73"/>
        <v>ok</v>
      </c>
      <c r="R326" t="str">
        <f t="shared" si="74"/>
        <v>ok</v>
      </c>
      <c r="S326" t="str">
        <f t="shared" si="75"/>
        <v>ok</v>
      </c>
      <c r="T326" t="str">
        <f t="shared" si="76"/>
        <v>ok</v>
      </c>
      <c r="U326" s="99">
        <v>26.64</v>
      </c>
      <c r="V326" s="1822">
        <v>5</v>
      </c>
      <c r="W326" s="1822">
        <v>32.56</v>
      </c>
      <c r="X326" s="1822">
        <v>162.80000000000001</v>
      </c>
    </row>
    <row r="327" spans="1:24" ht="28.5">
      <c r="A327" s="1651" t="s">
        <v>1315</v>
      </c>
      <c r="B327" s="1376" t="s">
        <v>488</v>
      </c>
      <c r="C327" s="1328" t="s">
        <v>1978</v>
      </c>
      <c r="D327" s="1390" t="s">
        <v>55</v>
      </c>
      <c r="E327" s="1314">
        <f>K327</f>
        <v>63.52</v>
      </c>
      <c r="F327" s="1320">
        <f>VLOOKUP(B327,'CADERNO DE COMPOSIÇÃO'!$A$8:$J$15448,10,FALSE)</f>
        <v>63.320000000000007</v>
      </c>
      <c r="G327" s="1372">
        <f t="shared" si="80"/>
        <v>2</v>
      </c>
      <c r="H327" s="1379">
        <v>2</v>
      </c>
      <c r="I327" s="1374">
        <f t="shared" si="81"/>
        <v>77.39</v>
      </c>
      <c r="J327" s="77">
        <f t="shared" si="82"/>
        <v>154.78</v>
      </c>
      <c r="K327" s="626">
        <f>' COMP HIDR 1'!F226</f>
        <v>63.52</v>
      </c>
      <c r="L327" s="122"/>
      <c r="Q327" t="str">
        <f t="shared" si="73"/>
        <v>ok</v>
      </c>
      <c r="R327" t="str">
        <f t="shared" si="74"/>
        <v>ok</v>
      </c>
      <c r="S327" t="str">
        <f t="shared" si="75"/>
        <v>ok</v>
      </c>
      <c r="T327" t="str">
        <f t="shared" si="76"/>
        <v>ok</v>
      </c>
      <c r="U327" s="99">
        <v>63.52</v>
      </c>
      <c r="V327" s="1822">
        <v>2</v>
      </c>
      <c r="W327" s="1822">
        <v>77.64</v>
      </c>
      <c r="X327" s="1822">
        <v>155.28</v>
      </c>
    </row>
    <row r="328" spans="1:24">
      <c r="A328" s="1693" t="s">
        <v>1316</v>
      </c>
      <c r="B328" s="1376" t="s">
        <v>491</v>
      </c>
      <c r="C328" s="1642" t="s">
        <v>2006</v>
      </c>
      <c r="D328" s="80" t="s">
        <v>55</v>
      </c>
      <c r="E328" s="1314">
        <f>K328</f>
        <v>14.46</v>
      </c>
      <c r="F328" s="1320">
        <f>VLOOKUP(B328,'CADERNO DE COMPOSIÇÃO'!$A$8:$J$15448,10,FALSE)</f>
        <v>14.41</v>
      </c>
      <c r="G328" s="1372">
        <f t="shared" si="80"/>
        <v>8</v>
      </c>
      <c r="H328" s="1379">
        <v>8</v>
      </c>
      <c r="I328" s="1374">
        <f t="shared" si="81"/>
        <v>17.61</v>
      </c>
      <c r="J328" s="77">
        <f t="shared" si="82"/>
        <v>140.88</v>
      </c>
      <c r="K328" s="626">
        <f>' COMP HIDR 1'!F262</f>
        <v>14.46</v>
      </c>
      <c r="L328" s="122"/>
      <c r="Q328" t="str">
        <f t="shared" si="73"/>
        <v>ok</v>
      </c>
      <c r="R328" t="str">
        <f t="shared" si="74"/>
        <v>ok</v>
      </c>
      <c r="S328" t="str">
        <f t="shared" si="75"/>
        <v>ok</v>
      </c>
      <c r="T328" t="str">
        <f t="shared" si="76"/>
        <v>ok</v>
      </c>
      <c r="U328" s="99">
        <v>14.46</v>
      </c>
      <c r="V328" s="1822">
        <v>8</v>
      </c>
      <c r="W328" s="1822">
        <v>17.670000000000002</v>
      </c>
      <c r="X328" s="1822">
        <v>141.36000000000001</v>
      </c>
    </row>
    <row r="329" spans="1:24">
      <c r="A329" s="1693" t="s">
        <v>1979</v>
      </c>
      <c r="B329" s="1376" t="s">
        <v>492</v>
      </c>
      <c r="C329" s="1328" t="s">
        <v>2007</v>
      </c>
      <c r="D329" s="80" t="s">
        <v>55</v>
      </c>
      <c r="E329" s="1314">
        <f>K329</f>
        <v>20.939999999999998</v>
      </c>
      <c r="F329" s="1320">
        <f>VLOOKUP(B329,'CADERNO DE COMPOSIÇÃO'!$A$8:$J$15448,10,FALSE)</f>
        <v>20.85</v>
      </c>
      <c r="G329" s="1372">
        <f t="shared" si="80"/>
        <v>1</v>
      </c>
      <c r="H329" s="1379">
        <v>1</v>
      </c>
      <c r="I329" s="1374">
        <f t="shared" si="81"/>
        <v>25.48</v>
      </c>
      <c r="J329" s="77">
        <f t="shared" si="82"/>
        <v>25.48</v>
      </c>
      <c r="K329" s="626">
        <f>' COMP HIDR 1'!F275</f>
        <v>20.939999999999998</v>
      </c>
      <c r="L329" s="122"/>
      <c r="Q329" t="str">
        <f t="shared" si="73"/>
        <v>ok</v>
      </c>
      <c r="R329" t="str">
        <f t="shared" si="74"/>
        <v>ok</v>
      </c>
      <c r="S329" t="str">
        <f t="shared" si="75"/>
        <v>ok</v>
      </c>
      <c r="T329" t="str">
        <f t="shared" si="76"/>
        <v>ok</v>
      </c>
      <c r="U329" s="99">
        <v>20.939999999999998</v>
      </c>
      <c r="V329" s="1822">
        <v>1</v>
      </c>
      <c r="W329" s="1822">
        <v>25.59</v>
      </c>
      <c r="X329" s="1822">
        <v>25.59</v>
      </c>
    </row>
    <row r="330" spans="1:24" ht="18.75" customHeight="1">
      <c r="A330" s="1693" t="s">
        <v>1980</v>
      </c>
      <c r="B330" s="1376" t="s">
        <v>493</v>
      </c>
      <c r="C330" s="1642" t="s">
        <v>2009</v>
      </c>
      <c r="D330" s="80" t="s">
        <v>55</v>
      </c>
      <c r="E330" s="1314">
        <f>K330</f>
        <v>446.32</v>
      </c>
      <c r="F330" s="1320">
        <f>VLOOKUP(B330,'CADERNO DE COMPOSIÇÃO'!$A$8:$J$15448,10,FALSE)</f>
        <v>444.15999999999997</v>
      </c>
      <c r="G330" s="1372">
        <f t="shared" si="80"/>
        <v>3</v>
      </c>
      <c r="H330" s="1379">
        <v>3</v>
      </c>
      <c r="I330" s="1374">
        <f t="shared" si="81"/>
        <v>542.89</v>
      </c>
      <c r="J330" s="77">
        <f t="shared" si="82"/>
        <v>1628.67</v>
      </c>
      <c r="K330" s="226">
        <f>' COMP HIDR 1'!F286</f>
        <v>446.32</v>
      </c>
      <c r="L330" s="122"/>
      <c r="Q330" t="str">
        <f t="shared" si="73"/>
        <v>ok</v>
      </c>
      <c r="R330" t="str">
        <f t="shared" si="74"/>
        <v>ok</v>
      </c>
      <c r="S330" t="str">
        <f t="shared" si="75"/>
        <v>ok</v>
      </c>
      <c r="T330" t="str">
        <f t="shared" si="76"/>
        <v>ok</v>
      </c>
      <c r="U330" s="99">
        <v>446.32</v>
      </c>
      <c r="V330" s="1822">
        <v>3</v>
      </c>
      <c r="W330" s="1822">
        <v>545.53</v>
      </c>
      <c r="X330" s="1822">
        <v>1636.59</v>
      </c>
    </row>
    <row r="331" spans="1:24" ht="28.5" customHeight="1">
      <c r="A331" s="1693" t="s">
        <v>1981</v>
      </c>
      <c r="B331" s="1376">
        <v>98110</v>
      </c>
      <c r="C331" s="1311" t="s">
        <v>2008</v>
      </c>
      <c r="D331" s="80" t="s">
        <v>55</v>
      </c>
      <c r="E331" s="1314">
        <v>436.51</v>
      </c>
      <c r="F331" s="1320">
        <f>VLOOKUP(B331,'CADERNO DE COMPOSIÇÃO'!$A$8:$J$15448,10,FALSE)</f>
        <v>434.33</v>
      </c>
      <c r="G331" s="1372">
        <f t="shared" si="80"/>
        <v>1</v>
      </c>
      <c r="H331" s="1379">
        <v>1</v>
      </c>
      <c r="I331" s="1374">
        <f t="shared" si="81"/>
        <v>530.88</v>
      </c>
      <c r="J331" s="77">
        <f t="shared" si="82"/>
        <v>530.88</v>
      </c>
      <c r="K331" s="226"/>
      <c r="L331" s="122"/>
      <c r="Q331" t="str">
        <f t="shared" si="73"/>
        <v>ok</v>
      </c>
      <c r="R331" t="str">
        <f t="shared" si="74"/>
        <v>ok</v>
      </c>
      <c r="S331" t="str">
        <f t="shared" si="75"/>
        <v>ok</v>
      </c>
      <c r="T331" t="str">
        <f t="shared" si="76"/>
        <v>ok</v>
      </c>
      <c r="U331" s="99">
        <v>436.51</v>
      </c>
      <c r="V331" s="1822">
        <v>1</v>
      </c>
      <c r="W331" s="1822">
        <v>533.54</v>
      </c>
      <c r="X331" s="1822">
        <v>533.54</v>
      </c>
    </row>
    <row r="332" spans="1:24" ht="15.75" customHeight="1">
      <c r="A332" s="1693" t="s">
        <v>1982</v>
      </c>
      <c r="B332" s="1376" t="s">
        <v>489</v>
      </c>
      <c r="C332" s="1642" t="s">
        <v>2130</v>
      </c>
      <c r="D332" s="80" t="s">
        <v>55</v>
      </c>
      <c r="E332" s="1073">
        <f>K332</f>
        <v>50.91</v>
      </c>
      <c r="F332" s="1320">
        <f>VLOOKUP(B332,'CADERNO DE COMPOSIÇÃO'!$A$8:$J$15448,10,FALSE)</f>
        <v>50.69</v>
      </c>
      <c r="G332" s="1079">
        <f t="shared" si="80"/>
        <v>1</v>
      </c>
      <c r="H332" s="1108">
        <v>1</v>
      </c>
      <c r="I332" s="1374">
        <f t="shared" si="81"/>
        <v>61.95</v>
      </c>
      <c r="J332" s="77">
        <f t="shared" si="82"/>
        <v>61.95</v>
      </c>
      <c r="K332" s="226">
        <f>' COMP HIDR 1'!F238</f>
        <v>50.91</v>
      </c>
      <c r="L332" s="122"/>
      <c r="Q332" t="str">
        <f t="shared" si="73"/>
        <v>ok</v>
      </c>
      <c r="R332" t="str">
        <f t="shared" si="74"/>
        <v>ok</v>
      </c>
      <c r="S332" t="str">
        <f t="shared" si="75"/>
        <v>ok</v>
      </c>
      <c r="T332" t="str">
        <f t="shared" si="76"/>
        <v>ok</v>
      </c>
      <c r="U332" s="99">
        <v>50.91</v>
      </c>
      <c r="V332" s="1822">
        <v>1</v>
      </c>
      <c r="W332" s="1822">
        <v>62.22</v>
      </c>
      <c r="X332" s="1822">
        <v>62.22</v>
      </c>
    </row>
    <row r="333" spans="1:24" ht="30" customHeight="1">
      <c r="A333" s="1693" t="s">
        <v>1983</v>
      </c>
      <c r="B333" s="1376">
        <v>86883</v>
      </c>
      <c r="C333" s="1311" t="s">
        <v>2004</v>
      </c>
      <c r="D333" s="80" t="s">
        <v>55</v>
      </c>
      <c r="E333" s="1073">
        <v>15.2</v>
      </c>
      <c r="F333" s="1320">
        <f>VLOOKUP(B333,'CADERNO DE COMPOSIÇÃO'!$A$8:$J$15448,10,FALSE)</f>
        <v>15.13</v>
      </c>
      <c r="G333" s="1079">
        <f t="shared" si="80"/>
        <v>7</v>
      </c>
      <c r="H333" s="1108">
        <v>7</v>
      </c>
      <c r="I333" s="1374">
        <f t="shared" si="81"/>
        <v>18.489999999999998</v>
      </c>
      <c r="J333" s="77">
        <f t="shared" si="82"/>
        <v>129.43</v>
      </c>
      <c r="K333" s="226"/>
      <c r="L333" s="122"/>
      <c r="Q333" t="str">
        <f t="shared" si="73"/>
        <v>ok</v>
      </c>
      <c r="R333" t="str">
        <f t="shared" si="74"/>
        <v>ok</v>
      </c>
      <c r="S333" t="str">
        <f t="shared" si="75"/>
        <v>ok</v>
      </c>
      <c r="T333" t="str">
        <f t="shared" si="76"/>
        <v>ok</v>
      </c>
      <c r="U333" s="99">
        <v>15.2</v>
      </c>
      <c r="V333" s="1822">
        <v>7</v>
      </c>
      <c r="W333" s="1822">
        <v>18.57</v>
      </c>
      <c r="X333" s="1822">
        <v>129.99</v>
      </c>
    </row>
    <row r="334" spans="1:24" ht="15.75" customHeight="1">
      <c r="A334" s="1693" t="s">
        <v>1984</v>
      </c>
      <c r="B334" s="1376" t="s">
        <v>490</v>
      </c>
      <c r="C334" s="1642" t="s">
        <v>2005</v>
      </c>
      <c r="D334" s="80" t="s">
        <v>55</v>
      </c>
      <c r="E334" s="1073">
        <f>K334</f>
        <v>11.04</v>
      </c>
      <c r="F334" s="1320">
        <f>VLOOKUP(B334,'CADERNO DE COMPOSIÇÃO'!$A$8:$J$15448,10,FALSE)</f>
        <v>11.01</v>
      </c>
      <c r="G334" s="1079">
        <f t="shared" si="80"/>
        <v>2</v>
      </c>
      <c r="H334" s="1108">
        <v>2</v>
      </c>
      <c r="I334" s="1374">
        <f t="shared" si="81"/>
        <v>13.45</v>
      </c>
      <c r="J334" s="77">
        <f t="shared" si="82"/>
        <v>26.9</v>
      </c>
      <c r="K334" s="226">
        <f>' COMP HIDR 1'!F249</f>
        <v>11.04</v>
      </c>
      <c r="L334" s="122"/>
      <c r="Q334" t="str">
        <f t="shared" si="73"/>
        <v>ok</v>
      </c>
      <c r="R334" t="str">
        <f t="shared" si="74"/>
        <v>ok</v>
      </c>
      <c r="S334" t="str">
        <f t="shared" si="75"/>
        <v>ok</v>
      </c>
      <c r="T334" t="str">
        <f t="shared" si="76"/>
        <v>ok</v>
      </c>
      <c r="U334" s="99">
        <v>11.04</v>
      </c>
      <c r="V334" s="1822">
        <v>2</v>
      </c>
      <c r="W334" s="1822">
        <v>13.49</v>
      </c>
      <c r="X334" s="1822">
        <v>26.98</v>
      </c>
    </row>
    <row r="335" spans="1:24" ht="30.75" customHeight="1">
      <c r="A335" s="1693" t="s">
        <v>1985</v>
      </c>
      <c r="B335" s="1697">
        <v>86879</v>
      </c>
      <c r="C335" s="1311" t="s">
        <v>2001</v>
      </c>
      <c r="D335" s="80" t="s">
        <v>55</v>
      </c>
      <c r="E335" s="1073">
        <v>11.26</v>
      </c>
      <c r="F335" s="1320">
        <f>VLOOKUP(B335,'CADERNO DE COMPOSIÇÃO'!$A$8:$J$15448,10,FALSE)</f>
        <v>11.22</v>
      </c>
      <c r="G335" s="1079">
        <f t="shared" si="80"/>
        <v>8</v>
      </c>
      <c r="H335" s="1108">
        <v>8</v>
      </c>
      <c r="I335" s="1374">
        <f t="shared" si="81"/>
        <v>13.71</v>
      </c>
      <c r="J335" s="77">
        <f t="shared" si="82"/>
        <v>109.68</v>
      </c>
      <c r="K335" s="226"/>
      <c r="L335" s="122"/>
      <c r="Q335" t="str">
        <f t="shared" si="73"/>
        <v>ok</v>
      </c>
      <c r="R335" t="str">
        <f t="shared" si="74"/>
        <v>ok</v>
      </c>
      <c r="S335" t="str">
        <f t="shared" si="75"/>
        <v>ok</v>
      </c>
      <c r="T335" t="str">
        <f t="shared" si="76"/>
        <v>ok</v>
      </c>
      <c r="U335" s="99">
        <v>11.26</v>
      </c>
      <c r="V335" s="1822">
        <v>8</v>
      </c>
      <c r="W335" s="1822">
        <v>13.76</v>
      </c>
      <c r="X335" s="1822">
        <v>110.08</v>
      </c>
    </row>
    <row r="336" spans="1:24" ht="15.75" thickBot="1">
      <c r="A336" s="1648"/>
      <c r="B336" s="1409"/>
      <c r="C336" s="1680"/>
      <c r="D336" s="1409"/>
      <c r="E336" s="1329"/>
      <c r="F336" s="1320"/>
      <c r="G336" s="1435"/>
      <c r="H336" s="1698"/>
      <c r="I336" s="1699" t="s">
        <v>15</v>
      </c>
      <c r="J336" s="79">
        <f>TRUNC(SUM(J310:J335),2)</f>
        <v>7689.86</v>
      </c>
      <c r="K336" s="310"/>
      <c r="L336" s="122"/>
      <c r="Q336" t="str">
        <f t="shared" si="73"/>
        <v>ok</v>
      </c>
      <c r="R336" t="str">
        <f t="shared" si="74"/>
        <v>ok</v>
      </c>
      <c r="S336" t="str">
        <f t="shared" si="75"/>
        <v>ok</v>
      </c>
      <c r="T336" t="str">
        <f t="shared" si="76"/>
        <v>ok</v>
      </c>
      <c r="U336" s="99"/>
      <c r="W336" s="1825" t="s">
        <v>15</v>
      </c>
      <c r="X336" s="1822">
        <v>7720.29</v>
      </c>
    </row>
    <row r="337" spans="1:24" ht="15.75">
      <c r="A337" s="334" t="s">
        <v>155</v>
      </c>
      <c r="B337" s="335"/>
      <c r="C337" s="336" t="s">
        <v>608</v>
      </c>
      <c r="D337" s="337"/>
      <c r="E337" s="649"/>
      <c r="F337" s="649"/>
      <c r="G337" s="650"/>
      <c r="H337" s="651"/>
      <c r="I337" s="650"/>
      <c r="J337" s="338"/>
      <c r="K337" s="310"/>
      <c r="L337" s="122"/>
      <c r="Q337" t="str">
        <f t="shared" si="73"/>
        <v>ok</v>
      </c>
      <c r="R337" t="str">
        <f t="shared" si="74"/>
        <v>ok</v>
      </c>
      <c r="S337" t="str">
        <f t="shared" si="75"/>
        <v>ok</v>
      </c>
      <c r="T337" t="str">
        <f t="shared" si="76"/>
        <v>ok</v>
      </c>
      <c r="U337" s="99"/>
      <c r="V337" s="1822"/>
      <c r="W337" s="1822"/>
      <c r="X337" s="1822"/>
    </row>
    <row r="338" spans="1:24" ht="44.25" customHeight="1">
      <c r="A338" s="1700" t="s">
        <v>1317</v>
      </c>
      <c r="B338" s="339"/>
      <c r="C338" s="1701" t="s">
        <v>275</v>
      </c>
      <c r="D338" s="340"/>
      <c r="E338" s="652"/>
      <c r="F338" s="652"/>
      <c r="G338" s="653"/>
      <c r="H338" s="654"/>
      <c r="I338" s="653"/>
      <c r="J338" s="341"/>
      <c r="K338" s="273" t="s">
        <v>1366</v>
      </c>
      <c r="L338" s="122"/>
      <c r="Q338" t="str">
        <f t="shared" ref="Q338:Q401" si="83">IF(F338&gt;U338,"CONFERIR","ok")</f>
        <v>ok</v>
      </c>
      <c r="R338" t="str">
        <f t="shared" ref="R338:R401" si="84">IF(G338&gt;V338,"CONFERIR","ok")</f>
        <v>ok</v>
      </c>
      <c r="S338" t="str">
        <f t="shared" ref="S338:S401" si="85">IF(I338&gt;W338,"CONFERIR","ok")</f>
        <v>ok</v>
      </c>
      <c r="T338" t="str">
        <f t="shared" ref="T338:T401" si="86">IF(J338&gt;X338,"CONFERIR","ok")</f>
        <v>ok</v>
      </c>
      <c r="U338" s="99"/>
      <c r="V338" s="1822"/>
      <c r="W338" s="1822"/>
      <c r="X338" s="1822"/>
    </row>
    <row r="339" spans="1:24" ht="28.5">
      <c r="A339" s="1702" t="s">
        <v>1318</v>
      </c>
      <c r="B339" s="1703">
        <v>96522</v>
      </c>
      <c r="C339" s="1312" t="s">
        <v>274</v>
      </c>
      <c r="D339" s="1316" t="s">
        <v>47</v>
      </c>
      <c r="E339" s="1310">
        <v>138.69999999999999</v>
      </c>
      <c r="F339" s="1320">
        <f>VLOOKUP(B339,'CADERNO DE COMPOSIÇÃO'!$A$8:$J$15448,10,FALSE)</f>
        <v>138.69999999999999</v>
      </c>
      <c r="G339" s="1372">
        <f t="shared" ref="G339:G349" si="87">IF(OR(E339&lt;=0)," ",TRUNC(H339,2))</f>
        <v>9.11</v>
      </c>
      <c r="H339" s="1678">
        <v>9.11</v>
      </c>
      <c r="I339" s="1374">
        <f t="shared" ref="I339:I348" si="88">TRUNC(F339*(1+$J$11),2)</f>
        <v>169.53</v>
      </c>
      <c r="J339" s="77">
        <f t="shared" ref="J339:J348" si="89">TRUNC(I339*G339,2)</f>
        <v>1544.41</v>
      </c>
      <c r="K339" s="342"/>
      <c r="L339" s="122"/>
      <c r="Q339" t="str">
        <f t="shared" si="83"/>
        <v>ok</v>
      </c>
      <c r="R339" t="str">
        <f t="shared" si="84"/>
        <v>ok</v>
      </c>
      <c r="S339" t="str">
        <f t="shared" si="85"/>
        <v>ok</v>
      </c>
      <c r="T339" t="str">
        <f t="shared" si="86"/>
        <v>ok</v>
      </c>
      <c r="U339" s="99">
        <v>138.69999999999999</v>
      </c>
      <c r="V339" s="1822">
        <v>9.11</v>
      </c>
      <c r="W339" s="1822">
        <v>169.53</v>
      </c>
      <c r="X339" s="1822">
        <v>1544.41</v>
      </c>
    </row>
    <row r="340" spans="1:24" ht="34.5" customHeight="1">
      <c r="A340" s="1702" t="s">
        <v>1319</v>
      </c>
      <c r="B340" s="1703">
        <v>100323</v>
      </c>
      <c r="C340" s="1311" t="s">
        <v>2047</v>
      </c>
      <c r="D340" s="1316" t="s">
        <v>47</v>
      </c>
      <c r="E340" s="1310">
        <v>173.51</v>
      </c>
      <c r="F340" s="1320">
        <f>VLOOKUP(B340,'CADERNO DE COMPOSIÇÃO'!$A$8:$J$15448,10,FALSE)</f>
        <v>172.77999999999997</v>
      </c>
      <c r="G340" s="1372">
        <f t="shared" si="87"/>
        <v>0.76</v>
      </c>
      <c r="H340" s="1678">
        <v>0.76300000000000001</v>
      </c>
      <c r="I340" s="1374">
        <f t="shared" si="88"/>
        <v>211.18</v>
      </c>
      <c r="J340" s="77">
        <f t="shared" si="89"/>
        <v>160.49</v>
      </c>
      <c r="K340" s="342"/>
      <c r="L340" s="122"/>
      <c r="Q340" t="str">
        <f t="shared" si="83"/>
        <v>ok</v>
      </c>
      <c r="R340" t="str">
        <f t="shared" si="84"/>
        <v>ok</v>
      </c>
      <c r="S340" t="str">
        <f t="shared" si="85"/>
        <v>ok</v>
      </c>
      <c r="T340" t="str">
        <f t="shared" si="86"/>
        <v>ok</v>
      </c>
      <c r="U340" s="99">
        <v>173.51</v>
      </c>
      <c r="V340" s="1822">
        <v>0.76</v>
      </c>
      <c r="W340" s="1822">
        <v>212.08</v>
      </c>
      <c r="X340" s="1822">
        <v>161.18</v>
      </c>
    </row>
    <row r="341" spans="1:24" ht="46.5" customHeight="1">
      <c r="A341" s="1702" t="s">
        <v>1320</v>
      </c>
      <c r="B341" s="1703">
        <v>101159</v>
      </c>
      <c r="C341" s="1311" t="s">
        <v>448</v>
      </c>
      <c r="D341" s="1313" t="s">
        <v>46</v>
      </c>
      <c r="E341" s="1310">
        <v>150.33000000000001</v>
      </c>
      <c r="F341" s="1320">
        <f>VLOOKUP(B341,'CADERNO DE COMPOSIÇÃO'!$A$8:$J$15448,10,FALSE)</f>
        <v>149.51</v>
      </c>
      <c r="G341" s="1372">
        <f t="shared" si="87"/>
        <v>14.44</v>
      </c>
      <c r="H341" s="1678">
        <v>14.44</v>
      </c>
      <c r="I341" s="1374">
        <f t="shared" si="88"/>
        <v>182.74</v>
      </c>
      <c r="J341" s="77">
        <f t="shared" si="89"/>
        <v>2638.76</v>
      </c>
      <c r="K341" s="342"/>
      <c r="L341" s="376" t="s">
        <v>2043</v>
      </c>
      <c r="Q341" t="str">
        <f t="shared" si="83"/>
        <v>ok</v>
      </c>
      <c r="R341" t="str">
        <f t="shared" si="84"/>
        <v>ok</v>
      </c>
      <c r="S341" t="str">
        <f t="shared" si="85"/>
        <v>ok</v>
      </c>
      <c r="T341" t="str">
        <f t="shared" si="86"/>
        <v>ok</v>
      </c>
      <c r="U341" s="99">
        <v>150.33000000000001</v>
      </c>
      <c r="V341" s="1822">
        <v>14.44</v>
      </c>
      <c r="W341" s="1822">
        <v>183.74</v>
      </c>
      <c r="X341" s="1822">
        <v>2653.2</v>
      </c>
    </row>
    <row r="342" spans="1:24" ht="30.75" customHeight="1">
      <c r="A342" s="1702" t="s">
        <v>1321</v>
      </c>
      <c r="B342" s="1304">
        <v>96536</v>
      </c>
      <c r="C342" s="1315" t="s">
        <v>423</v>
      </c>
      <c r="D342" s="1304" t="s">
        <v>46</v>
      </c>
      <c r="E342" s="1314">
        <v>75.89</v>
      </c>
      <c r="F342" s="1320">
        <f>VLOOKUP(B342,'CADERNO DE COMPOSIÇÃO'!$A$8:$J$15448,10,FALSE)</f>
        <v>75.670000000000016</v>
      </c>
      <c r="G342" s="1372">
        <f t="shared" si="87"/>
        <v>7.54</v>
      </c>
      <c r="H342" s="1678">
        <v>7.54</v>
      </c>
      <c r="I342" s="1374">
        <f t="shared" si="88"/>
        <v>92.49</v>
      </c>
      <c r="J342" s="77">
        <f t="shared" si="89"/>
        <v>697.37</v>
      </c>
      <c r="K342" s="342"/>
      <c r="L342" s="376"/>
      <c r="Q342" t="str">
        <f t="shared" si="83"/>
        <v>ok</v>
      </c>
      <c r="R342" t="str">
        <f t="shared" si="84"/>
        <v>ok</v>
      </c>
      <c r="S342" t="str">
        <f t="shared" si="85"/>
        <v>ok</v>
      </c>
      <c r="T342" t="str">
        <f t="shared" si="86"/>
        <v>ok</v>
      </c>
      <c r="U342" s="99">
        <v>75.89</v>
      </c>
      <c r="V342" s="1822">
        <v>7.54</v>
      </c>
      <c r="W342" s="1822">
        <v>92.76</v>
      </c>
      <c r="X342" s="1822">
        <v>699.41</v>
      </c>
    </row>
    <row r="343" spans="1:24" ht="35.25" customHeight="1">
      <c r="A343" s="1730" t="s">
        <v>1322</v>
      </c>
      <c r="B343" s="1304">
        <v>94965</v>
      </c>
      <c r="C343" s="1315" t="s">
        <v>420</v>
      </c>
      <c r="D343" s="1316" t="s">
        <v>47</v>
      </c>
      <c r="E343" s="1314">
        <v>568</v>
      </c>
      <c r="F343" s="1320">
        <f>VLOOKUP(B343,'CADERNO DE COMPOSIÇÃO'!$A$8:$J$15448,10,FALSE)</f>
        <v>563.54999999999995</v>
      </c>
      <c r="G343" s="1372">
        <f t="shared" si="87"/>
        <v>0.81</v>
      </c>
      <c r="H343" s="1678">
        <v>0.81699999999999995</v>
      </c>
      <c r="I343" s="1374">
        <f t="shared" si="88"/>
        <v>688.82</v>
      </c>
      <c r="J343" s="77">
        <f t="shared" si="89"/>
        <v>557.94000000000005</v>
      </c>
      <c r="K343" s="342"/>
      <c r="L343" s="376"/>
      <c r="Q343" t="str">
        <f t="shared" si="83"/>
        <v>ok</v>
      </c>
      <c r="R343" t="str">
        <f t="shared" si="84"/>
        <v>ok</v>
      </c>
      <c r="S343" t="str">
        <f t="shared" si="85"/>
        <v>ok</v>
      </c>
      <c r="T343" t="str">
        <f t="shared" si="86"/>
        <v>ok</v>
      </c>
      <c r="U343" s="99">
        <v>568</v>
      </c>
      <c r="V343" s="1822">
        <v>0.81</v>
      </c>
      <c r="W343" s="1822">
        <v>694.26</v>
      </c>
      <c r="X343" s="1822">
        <v>562.35</v>
      </c>
    </row>
    <row r="344" spans="1:24" ht="30.75" customHeight="1">
      <c r="A344" s="1702" t="s">
        <v>1323</v>
      </c>
      <c r="B344" s="1304">
        <v>103673</v>
      </c>
      <c r="C344" s="1315" t="s">
        <v>2384</v>
      </c>
      <c r="D344" s="1316" t="s">
        <v>47</v>
      </c>
      <c r="E344" s="1314">
        <v>37.31</v>
      </c>
      <c r="F344" s="1320">
        <f>VLOOKUP(B344,'CADERNO DE COMPOSIÇÃO'!$A$8:$J$15448,10,FALSE)</f>
        <v>37.31</v>
      </c>
      <c r="G344" s="1372">
        <f t="shared" si="87"/>
        <v>0.82</v>
      </c>
      <c r="H344" s="1678">
        <v>0.82</v>
      </c>
      <c r="I344" s="1374">
        <f t="shared" si="88"/>
        <v>45.6</v>
      </c>
      <c r="J344" s="77">
        <f t="shared" si="89"/>
        <v>37.39</v>
      </c>
      <c r="K344" s="342"/>
      <c r="L344" s="376"/>
      <c r="Q344" t="str">
        <f t="shared" si="83"/>
        <v>ok</v>
      </c>
      <c r="R344" t="str">
        <f t="shared" si="84"/>
        <v>ok</v>
      </c>
      <c r="S344" t="str">
        <f t="shared" si="85"/>
        <v>ok</v>
      </c>
      <c r="T344" t="str">
        <f t="shared" si="86"/>
        <v>ok</v>
      </c>
      <c r="U344" s="99">
        <v>37.31</v>
      </c>
      <c r="V344" s="1822">
        <v>0.82</v>
      </c>
      <c r="W344" s="1822">
        <v>45.6</v>
      </c>
      <c r="X344" s="1822">
        <v>37.39</v>
      </c>
    </row>
    <row r="345" spans="1:24" ht="48.75" customHeight="1">
      <c r="A345" s="1702" t="s">
        <v>1324</v>
      </c>
      <c r="B345" s="1703">
        <v>87893</v>
      </c>
      <c r="C345" s="1311" t="s">
        <v>2045</v>
      </c>
      <c r="D345" s="1313" t="s">
        <v>46</v>
      </c>
      <c r="E345" s="1310">
        <v>7.02</v>
      </c>
      <c r="F345" s="1320">
        <f>VLOOKUP(B345,'CADERNO DE COMPOSIÇÃO'!$A$8:$J$15448,10,FALSE)</f>
        <v>7</v>
      </c>
      <c r="G345" s="1372">
        <f t="shared" si="87"/>
        <v>0.75</v>
      </c>
      <c r="H345" s="1678">
        <v>0.754</v>
      </c>
      <c r="I345" s="1374">
        <f t="shared" si="88"/>
        <v>8.5500000000000007</v>
      </c>
      <c r="J345" s="77">
        <f t="shared" si="89"/>
        <v>6.41</v>
      </c>
      <c r="K345" s="342"/>
      <c r="L345" s="122"/>
      <c r="Q345" t="str">
        <f t="shared" si="83"/>
        <v>ok</v>
      </c>
      <c r="R345" t="str">
        <f t="shared" si="84"/>
        <v>ok</v>
      </c>
      <c r="S345" t="str">
        <f t="shared" si="85"/>
        <v>ok</v>
      </c>
      <c r="T345" t="str">
        <f t="shared" si="86"/>
        <v>ok</v>
      </c>
      <c r="U345" s="99">
        <v>7.02</v>
      </c>
      <c r="V345" s="1822">
        <v>0.75</v>
      </c>
      <c r="W345" s="1822">
        <v>8.58</v>
      </c>
      <c r="X345" s="1822">
        <v>6.43</v>
      </c>
    </row>
    <row r="346" spans="1:24" ht="28.5">
      <c r="A346" s="1702" t="s">
        <v>2082</v>
      </c>
      <c r="B346" s="1703">
        <v>97086</v>
      </c>
      <c r="C346" s="1311" t="s">
        <v>2046</v>
      </c>
      <c r="D346" s="1313" t="s">
        <v>46</v>
      </c>
      <c r="E346" s="1721">
        <v>120.54</v>
      </c>
      <c r="F346" s="1320">
        <f>VLOOKUP(B346,'CADERNO DE COMPOSIÇÃO'!$A$8:$J$15448,10,FALSE)</f>
        <v>120.35</v>
      </c>
      <c r="G346" s="1372">
        <f t="shared" si="87"/>
        <v>3.8</v>
      </c>
      <c r="H346" s="1678">
        <v>3.8010000000000002</v>
      </c>
      <c r="I346" s="1374">
        <f t="shared" si="88"/>
        <v>147.1</v>
      </c>
      <c r="J346" s="77">
        <f t="shared" si="89"/>
        <v>558.98</v>
      </c>
      <c r="K346" s="342"/>
      <c r="L346" s="122"/>
      <c r="Q346" t="str">
        <f t="shared" si="83"/>
        <v>ok</v>
      </c>
      <c r="R346" t="str">
        <f t="shared" si="84"/>
        <v>ok</v>
      </c>
      <c r="S346" t="str">
        <f t="shared" si="85"/>
        <v>ok</v>
      </c>
      <c r="T346" t="str">
        <f t="shared" si="86"/>
        <v>ok</v>
      </c>
      <c r="U346" s="99">
        <v>120.54</v>
      </c>
      <c r="V346" s="1822">
        <v>3.8</v>
      </c>
      <c r="W346" s="1822">
        <v>147.33000000000001</v>
      </c>
      <c r="X346" s="1822">
        <v>559.85</v>
      </c>
    </row>
    <row r="347" spans="1:24" ht="28.5">
      <c r="A347" s="1702" t="s">
        <v>2083</v>
      </c>
      <c r="B347" s="1308">
        <v>92767</v>
      </c>
      <c r="C347" s="1311" t="s">
        <v>2382</v>
      </c>
      <c r="D347" s="1304" t="s">
        <v>100</v>
      </c>
      <c r="E347" s="1310">
        <v>17.48</v>
      </c>
      <c r="F347" s="1320">
        <f>VLOOKUP(B347,'CADERNO DE COMPOSIÇÃO'!$A$8:$J$15448,10,FALSE)</f>
        <v>17.38</v>
      </c>
      <c r="G347" s="1372">
        <f t="shared" si="87"/>
        <v>26.6</v>
      </c>
      <c r="H347" s="1678">
        <v>26.609000000000002</v>
      </c>
      <c r="I347" s="1374">
        <f t="shared" si="88"/>
        <v>21.24</v>
      </c>
      <c r="J347" s="77">
        <f t="shared" si="89"/>
        <v>564.98</v>
      </c>
      <c r="K347" s="342"/>
      <c r="L347" s="122"/>
      <c r="Q347" t="str">
        <f t="shared" si="83"/>
        <v>ok</v>
      </c>
      <c r="R347" t="str">
        <f t="shared" si="84"/>
        <v>ok</v>
      </c>
      <c r="S347" t="str">
        <f t="shared" si="85"/>
        <v>ok</v>
      </c>
      <c r="T347" t="str">
        <f t="shared" si="86"/>
        <v>ok</v>
      </c>
      <c r="U347" s="99">
        <v>17.48</v>
      </c>
      <c r="V347" s="1822">
        <v>26.6</v>
      </c>
      <c r="W347" s="1822">
        <v>21.36</v>
      </c>
      <c r="X347" s="1822">
        <v>568.16999999999996</v>
      </c>
    </row>
    <row r="348" spans="1:24" ht="34.5" customHeight="1">
      <c r="A348" s="1702" t="s">
        <v>2084</v>
      </c>
      <c r="B348" s="1308">
        <v>98115</v>
      </c>
      <c r="C348" s="1311" t="s">
        <v>2385</v>
      </c>
      <c r="D348" s="80" t="s">
        <v>55</v>
      </c>
      <c r="E348" s="1310">
        <v>99.33</v>
      </c>
      <c r="F348" s="1320">
        <f>VLOOKUP(B348,'CADERNO DE COMPOSIÇÃO'!$A$8:$J$15448,10,FALSE)</f>
        <v>98.850000000000009</v>
      </c>
      <c r="G348" s="1372">
        <f t="shared" si="87"/>
        <v>1</v>
      </c>
      <c r="H348" s="1678">
        <v>1</v>
      </c>
      <c r="I348" s="1374">
        <f t="shared" si="88"/>
        <v>120.82</v>
      </c>
      <c r="J348" s="77">
        <f t="shared" si="89"/>
        <v>120.82</v>
      </c>
      <c r="K348" s="342"/>
      <c r="L348" s="122"/>
      <c r="Q348" t="str">
        <f t="shared" si="83"/>
        <v>ok</v>
      </c>
      <c r="R348" t="str">
        <f t="shared" si="84"/>
        <v>ok</v>
      </c>
      <c r="S348" t="str">
        <f t="shared" si="85"/>
        <v>ok</v>
      </c>
      <c r="T348" t="str">
        <f t="shared" si="86"/>
        <v>ok</v>
      </c>
      <c r="U348" s="99">
        <v>99.33</v>
      </c>
      <c r="V348" s="1822">
        <v>1</v>
      </c>
      <c r="W348" s="1822">
        <v>121.41</v>
      </c>
      <c r="X348" s="1822">
        <v>121.41</v>
      </c>
    </row>
    <row r="349" spans="1:24">
      <c r="A349" s="1493"/>
      <c r="B349" s="1032"/>
      <c r="C349" s="1731"/>
      <c r="D349" s="1032"/>
      <c r="E349" s="1073"/>
      <c r="F349" s="1073"/>
      <c r="G349" s="1079" t="str">
        <f t="shared" si="87"/>
        <v xml:space="preserve"> </v>
      </c>
      <c r="H349" s="1732"/>
      <c r="I349" s="1422" t="s">
        <v>15</v>
      </c>
      <c r="J349" s="1035">
        <f>TRUNC(SUM(J339:J348),2)</f>
        <v>6887.55</v>
      </c>
      <c r="K349" s="310"/>
      <c r="L349" s="122"/>
      <c r="Q349" t="str">
        <f t="shared" si="83"/>
        <v>ok</v>
      </c>
      <c r="R349" t="str">
        <f t="shared" si="84"/>
        <v>ok</v>
      </c>
      <c r="S349" t="str">
        <f t="shared" si="85"/>
        <v>ok</v>
      </c>
      <c r="T349" t="str">
        <f t="shared" si="86"/>
        <v>ok</v>
      </c>
      <c r="U349" s="99"/>
      <c r="V349" s="1822" t="s">
        <v>42</v>
      </c>
      <c r="W349" s="1825" t="s">
        <v>15</v>
      </c>
      <c r="X349" s="1822">
        <v>6913.8</v>
      </c>
    </row>
    <row r="350" spans="1:24" ht="17.25" customHeight="1">
      <c r="A350" s="1760" t="s">
        <v>1325</v>
      </c>
      <c r="B350" s="1403"/>
      <c r="C350" s="1738" t="s">
        <v>1909</v>
      </c>
      <c r="D350" s="1736"/>
      <c r="E350" s="1737"/>
      <c r="F350" s="1737"/>
      <c r="G350" s="1737"/>
      <c r="H350" s="1737"/>
      <c r="I350" s="1737"/>
      <c r="J350" s="1761"/>
      <c r="K350" s="310"/>
      <c r="L350" s="122"/>
      <c r="Q350" t="str">
        <f t="shared" si="83"/>
        <v>ok</v>
      </c>
      <c r="R350" t="str">
        <f t="shared" si="84"/>
        <v>ok</v>
      </c>
      <c r="S350" t="str">
        <f t="shared" si="85"/>
        <v>ok</v>
      </c>
      <c r="T350" t="str">
        <f t="shared" si="86"/>
        <v>ok</v>
      </c>
    </row>
    <row r="351" spans="1:24" ht="35.25" customHeight="1">
      <c r="A351" s="1733" t="s">
        <v>1326</v>
      </c>
      <c r="B351" s="1734">
        <v>96522</v>
      </c>
      <c r="C351" s="1735" t="s">
        <v>274</v>
      </c>
      <c r="D351" s="1589" t="s">
        <v>47</v>
      </c>
      <c r="E351" s="1721">
        <v>138.69999999999999</v>
      </c>
      <c r="F351" s="1320">
        <f>VLOOKUP(B351,'CADERNO DE COMPOSIÇÃO'!$A$8:$J$15448,10,FALSE)</f>
        <v>138.69999999999999</v>
      </c>
      <c r="G351" s="1369">
        <f t="shared" ref="G351:G363" si="90">IF(OR(E351&lt;=0)," ",TRUNC(H351,2))</f>
        <v>19.850000000000001</v>
      </c>
      <c r="H351" s="1641">
        <v>19.855</v>
      </c>
      <c r="I351" s="1370">
        <f t="shared" ref="I351:I362" si="91">TRUNC(F351*(1+$J$11),2)</f>
        <v>169.53</v>
      </c>
      <c r="J351" s="1371">
        <f t="shared" ref="J351:J362" si="92">TRUNC(I351*G351,2)</f>
        <v>3365.17</v>
      </c>
      <c r="K351" s="310"/>
      <c r="L351" s="122"/>
      <c r="Q351" t="str">
        <f t="shared" si="83"/>
        <v>ok</v>
      </c>
      <c r="R351" t="str">
        <f t="shared" si="84"/>
        <v>ok</v>
      </c>
      <c r="S351" t="str">
        <f t="shared" si="85"/>
        <v>ok</v>
      </c>
      <c r="T351" t="str">
        <f t="shared" si="86"/>
        <v>ok</v>
      </c>
      <c r="U351" s="99">
        <v>138.69999999999999</v>
      </c>
      <c r="V351" s="1822">
        <v>19.850000000000001</v>
      </c>
      <c r="W351" s="1822">
        <v>169.53</v>
      </c>
      <c r="X351" s="1822">
        <v>3365.17</v>
      </c>
    </row>
    <row r="352" spans="1:24" ht="31.5" customHeight="1">
      <c r="A352" s="1702" t="s">
        <v>1327</v>
      </c>
      <c r="B352" s="1318">
        <v>97084</v>
      </c>
      <c r="C352" s="1311" t="s">
        <v>2048</v>
      </c>
      <c r="D352" s="1313" t="s">
        <v>46</v>
      </c>
      <c r="E352" s="1073">
        <v>0.62</v>
      </c>
      <c r="F352" s="1320">
        <f>VLOOKUP(B352,'CADERNO DE COMPOSIÇÃO'!$A$8:$J$15448,10,FALSE)</f>
        <v>0.62</v>
      </c>
      <c r="G352" s="1372">
        <f t="shared" si="90"/>
        <v>9.02</v>
      </c>
      <c r="H352" s="1108">
        <v>9.0250000000000004</v>
      </c>
      <c r="I352" s="1374">
        <f t="shared" si="91"/>
        <v>0.75</v>
      </c>
      <c r="J352" s="77">
        <f t="shared" si="92"/>
        <v>6.76</v>
      </c>
      <c r="K352" s="343"/>
      <c r="L352" s="122"/>
      <c r="Q352" t="str">
        <f t="shared" si="83"/>
        <v>ok</v>
      </c>
      <c r="R352" t="str">
        <f t="shared" si="84"/>
        <v>ok</v>
      </c>
      <c r="S352" t="str">
        <f t="shared" si="85"/>
        <v>ok</v>
      </c>
      <c r="T352" t="str">
        <f t="shared" si="86"/>
        <v>ok</v>
      </c>
      <c r="U352" s="99">
        <v>0.62</v>
      </c>
      <c r="V352" s="1822">
        <v>9.02</v>
      </c>
      <c r="W352" s="1822">
        <v>0.75</v>
      </c>
      <c r="X352" s="1822">
        <v>6.76</v>
      </c>
    </row>
    <row r="353" spans="1:24" ht="30.75" customHeight="1">
      <c r="A353" s="1702" t="s">
        <v>1328</v>
      </c>
      <c r="B353" s="1308">
        <v>97087</v>
      </c>
      <c r="C353" s="1309" t="s">
        <v>2379</v>
      </c>
      <c r="D353" s="1313" t="s">
        <v>46</v>
      </c>
      <c r="E353" s="1310">
        <v>2.16</v>
      </c>
      <c r="F353" s="1320">
        <f>VLOOKUP(B353,'CADERNO DE COMPOSIÇÃO'!$A$8:$J$15448,10,FALSE)</f>
        <v>2.15</v>
      </c>
      <c r="G353" s="1372">
        <f t="shared" si="90"/>
        <v>9.02</v>
      </c>
      <c r="H353" s="1108">
        <v>9.0250000000000004</v>
      </c>
      <c r="I353" s="1374">
        <f t="shared" si="91"/>
        <v>2.62</v>
      </c>
      <c r="J353" s="77">
        <f t="shared" si="92"/>
        <v>23.63</v>
      </c>
      <c r="K353" s="634" t="e">
        <f>'COMP ETE 1'!#REF!</f>
        <v>#REF!</v>
      </c>
      <c r="L353" s="377"/>
      <c r="Q353" t="str">
        <f t="shared" si="83"/>
        <v>ok</v>
      </c>
      <c r="R353" t="str">
        <f t="shared" si="84"/>
        <v>ok</v>
      </c>
      <c r="S353" t="str">
        <f t="shared" si="85"/>
        <v>ok</v>
      </c>
      <c r="T353" t="str">
        <f t="shared" si="86"/>
        <v>ok</v>
      </c>
      <c r="U353" s="99">
        <v>2.16</v>
      </c>
      <c r="V353" s="1822">
        <v>9.02</v>
      </c>
      <c r="W353" s="1822">
        <v>2.64</v>
      </c>
      <c r="X353" s="1822">
        <v>23.81</v>
      </c>
    </row>
    <row r="354" spans="1:24" ht="39.75" customHeight="1">
      <c r="A354" s="1702" t="s">
        <v>1329</v>
      </c>
      <c r="B354" s="1308">
        <v>97102</v>
      </c>
      <c r="C354" s="1312" t="s">
        <v>2381</v>
      </c>
      <c r="D354" s="1704" t="s">
        <v>47</v>
      </c>
      <c r="E354" s="1310">
        <v>267.07</v>
      </c>
      <c r="F354" s="1320">
        <f>VLOOKUP(B354,'CADERNO DE COMPOSIÇÃO'!$A$8:$J$15448,10,FALSE)</f>
        <v>265.69</v>
      </c>
      <c r="G354" s="1372">
        <f t="shared" si="90"/>
        <v>1.44</v>
      </c>
      <c r="H354" s="1108">
        <v>1.4419999999999999</v>
      </c>
      <c r="I354" s="1374">
        <f t="shared" si="91"/>
        <v>324.75</v>
      </c>
      <c r="J354" s="77">
        <f t="shared" si="92"/>
        <v>467.64</v>
      </c>
      <c r="K354" s="343"/>
      <c r="L354" s="122"/>
      <c r="Q354" t="str">
        <f t="shared" si="83"/>
        <v>ok</v>
      </c>
      <c r="R354" t="str">
        <f t="shared" si="84"/>
        <v>ok</v>
      </c>
      <c r="S354" t="str">
        <f t="shared" si="85"/>
        <v>ok</v>
      </c>
      <c r="T354" t="str">
        <f t="shared" si="86"/>
        <v>ok</v>
      </c>
      <c r="U354" s="99">
        <v>267.07</v>
      </c>
      <c r="V354" s="1822">
        <v>1.44</v>
      </c>
      <c r="W354" s="1822">
        <v>326.43</v>
      </c>
      <c r="X354" s="1822">
        <v>470.05</v>
      </c>
    </row>
    <row r="355" spans="1:24" ht="36" customHeight="1">
      <c r="A355" s="1702" t="s">
        <v>1330</v>
      </c>
      <c r="B355" s="1308">
        <v>92767</v>
      </c>
      <c r="C355" s="1311" t="s">
        <v>2382</v>
      </c>
      <c r="D355" s="1313" t="s">
        <v>100</v>
      </c>
      <c r="E355" s="1310">
        <v>17.48</v>
      </c>
      <c r="F355" s="1320">
        <f>VLOOKUP(B355,'CADERNO DE COMPOSIÇÃO'!$A$8:$J$15448,10,FALSE)</f>
        <v>17.38</v>
      </c>
      <c r="G355" s="1372">
        <f t="shared" si="90"/>
        <v>75.53</v>
      </c>
      <c r="H355" s="1108">
        <v>75.53</v>
      </c>
      <c r="I355" s="1374">
        <f t="shared" si="91"/>
        <v>21.24</v>
      </c>
      <c r="J355" s="77">
        <f t="shared" si="92"/>
        <v>1604.25</v>
      </c>
      <c r="K355" s="343"/>
      <c r="L355" s="377" t="s">
        <v>1910</v>
      </c>
      <c r="Q355" t="str">
        <f t="shared" si="83"/>
        <v>ok</v>
      </c>
      <c r="R355" t="str">
        <f t="shared" si="84"/>
        <v>ok</v>
      </c>
      <c r="S355" t="str">
        <f t="shared" si="85"/>
        <v>ok</v>
      </c>
      <c r="T355" t="str">
        <f t="shared" si="86"/>
        <v>ok</v>
      </c>
      <c r="U355" s="99">
        <v>17.48</v>
      </c>
      <c r="V355" s="1822">
        <v>75.53</v>
      </c>
      <c r="W355" s="1822">
        <v>21.36</v>
      </c>
      <c r="X355" s="1822">
        <v>1613.32</v>
      </c>
    </row>
    <row r="356" spans="1:24" ht="45.75" customHeight="1">
      <c r="A356" s="1702" t="s">
        <v>1331</v>
      </c>
      <c r="B356" s="1304">
        <v>92522</v>
      </c>
      <c r="C356" s="1311" t="s">
        <v>1718</v>
      </c>
      <c r="D356" s="1304" t="s">
        <v>46</v>
      </c>
      <c r="E356" s="1314">
        <v>47.84</v>
      </c>
      <c r="F356" s="1320">
        <f>VLOOKUP(B356,'CADERNO DE COMPOSIÇÃO'!$A$8:$J$15448,10,FALSE)</f>
        <v>47.66</v>
      </c>
      <c r="G356" s="1372">
        <f t="shared" si="90"/>
        <v>5.39</v>
      </c>
      <c r="H356" s="1109">
        <v>5.39</v>
      </c>
      <c r="I356" s="1374">
        <f t="shared" si="91"/>
        <v>58.25</v>
      </c>
      <c r="J356" s="77">
        <f t="shared" si="92"/>
        <v>313.95999999999998</v>
      </c>
      <c r="K356" s="343"/>
      <c r="L356" s="122"/>
      <c r="Q356" t="str">
        <f t="shared" si="83"/>
        <v>ok</v>
      </c>
      <c r="R356" t="str">
        <f t="shared" si="84"/>
        <v>ok</v>
      </c>
      <c r="S356" t="str">
        <f t="shared" si="85"/>
        <v>ok</v>
      </c>
      <c r="T356" t="str">
        <f t="shared" si="86"/>
        <v>ok</v>
      </c>
      <c r="U356" s="99">
        <v>47.84</v>
      </c>
      <c r="V356" s="1822">
        <v>5.39</v>
      </c>
      <c r="W356" s="1822">
        <v>58.47</v>
      </c>
      <c r="X356" s="1822">
        <v>315.14999999999998</v>
      </c>
    </row>
    <row r="357" spans="1:24" ht="20.25" customHeight="1">
      <c r="A357" s="1702" t="s">
        <v>1332</v>
      </c>
      <c r="B357" s="1318">
        <v>96995</v>
      </c>
      <c r="C357" s="436" t="s">
        <v>414</v>
      </c>
      <c r="D357" s="1316" t="s">
        <v>47</v>
      </c>
      <c r="E357" s="1072">
        <v>46.65</v>
      </c>
      <c r="F357" s="1320">
        <f>VLOOKUP(B357,'CADERNO DE COMPOSIÇÃO'!$A$8:$J$15448,10,FALSE)</f>
        <v>46.65</v>
      </c>
      <c r="G357" s="1372">
        <f t="shared" si="90"/>
        <v>7.77</v>
      </c>
      <c r="H357" s="1109">
        <v>7.77</v>
      </c>
      <c r="I357" s="1374">
        <f t="shared" si="91"/>
        <v>57.02</v>
      </c>
      <c r="J357" s="77">
        <f t="shared" si="92"/>
        <v>443.04</v>
      </c>
      <c r="K357" s="310"/>
      <c r="L357" s="122"/>
      <c r="Q357" t="str">
        <f t="shared" si="83"/>
        <v>ok</v>
      </c>
      <c r="R357" t="str">
        <f t="shared" si="84"/>
        <v>ok</v>
      </c>
      <c r="S357" t="str">
        <f t="shared" si="85"/>
        <v>ok</v>
      </c>
      <c r="T357" t="str">
        <f t="shared" si="86"/>
        <v>ok</v>
      </c>
      <c r="U357" s="1821">
        <v>46.65</v>
      </c>
      <c r="V357" s="1822">
        <v>7.77</v>
      </c>
      <c r="W357" s="1822">
        <v>57.02</v>
      </c>
      <c r="X357" s="1822">
        <v>443.04</v>
      </c>
    </row>
    <row r="358" spans="1:24" ht="48.75" customHeight="1">
      <c r="A358" s="1702" t="s">
        <v>1333</v>
      </c>
      <c r="B358" s="1304">
        <v>91815</v>
      </c>
      <c r="C358" s="1311" t="s">
        <v>2383</v>
      </c>
      <c r="D358" s="1304" t="s">
        <v>46</v>
      </c>
      <c r="E358" s="1073">
        <v>84.15</v>
      </c>
      <c r="F358" s="1320">
        <f>VLOOKUP(B358,'CADERNO DE COMPOSIÇÃO'!$A$8:$J$15448,10,FALSE)</f>
        <v>83.72</v>
      </c>
      <c r="G358" s="1372">
        <f t="shared" si="90"/>
        <v>18.7</v>
      </c>
      <c r="H358" s="1108">
        <v>18.7</v>
      </c>
      <c r="I358" s="1374">
        <f t="shared" si="91"/>
        <v>102.33</v>
      </c>
      <c r="J358" s="77">
        <f t="shared" si="92"/>
        <v>1913.57</v>
      </c>
      <c r="K358" s="310"/>
      <c r="L358" s="377" t="s">
        <v>1913</v>
      </c>
      <c r="Q358" t="str">
        <f t="shared" si="83"/>
        <v>ok</v>
      </c>
      <c r="R358" t="str">
        <f t="shared" si="84"/>
        <v>ok</v>
      </c>
      <c r="S358" t="str">
        <f t="shared" si="85"/>
        <v>ok</v>
      </c>
      <c r="T358" t="str">
        <f t="shared" si="86"/>
        <v>ok</v>
      </c>
      <c r="U358" s="99">
        <v>84.15</v>
      </c>
      <c r="V358" s="1822">
        <v>18.7</v>
      </c>
      <c r="W358" s="1822">
        <v>102.85</v>
      </c>
      <c r="X358" s="1822">
        <v>1923.29</v>
      </c>
    </row>
    <row r="359" spans="1:24" ht="48.75" customHeight="1">
      <c r="A359" s="1702" t="s">
        <v>1334</v>
      </c>
      <c r="B359" s="1703">
        <v>87893</v>
      </c>
      <c r="C359" s="1312" t="s">
        <v>2049</v>
      </c>
      <c r="D359" s="1313" t="s">
        <v>46</v>
      </c>
      <c r="E359" s="1073">
        <v>7.02</v>
      </c>
      <c r="F359" s="1320">
        <f>VLOOKUP(B359,'CADERNO DE COMPOSIÇÃO'!$A$8:$J$15448,10,FALSE)</f>
        <v>7</v>
      </c>
      <c r="G359" s="1372">
        <f t="shared" si="90"/>
        <v>24.95</v>
      </c>
      <c r="H359" s="1108">
        <v>24.95</v>
      </c>
      <c r="I359" s="1374">
        <f t="shared" si="91"/>
        <v>8.5500000000000007</v>
      </c>
      <c r="J359" s="77">
        <f t="shared" si="92"/>
        <v>213.32</v>
      </c>
      <c r="K359" s="223"/>
      <c r="L359" s="1028"/>
      <c r="M359" s="1028"/>
      <c r="Q359" t="str">
        <f t="shared" si="83"/>
        <v>ok</v>
      </c>
      <c r="R359" t="str">
        <f t="shared" si="84"/>
        <v>ok</v>
      </c>
      <c r="S359" t="str">
        <f t="shared" si="85"/>
        <v>ok</v>
      </c>
      <c r="T359" t="str">
        <f t="shared" si="86"/>
        <v>ok</v>
      </c>
      <c r="U359" s="99">
        <v>7.02</v>
      </c>
      <c r="V359" s="1822">
        <v>24.95</v>
      </c>
      <c r="W359" s="1822">
        <v>8.58</v>
      </c>
      <c r="X359" s="1822">
        <v>214.07</v>
      </c>
    </row>
    <row r="360" spans="1:24" ht="28.5">
      <c r="A360" s="1702" t="s">
        <v>1335</v>
      </c>
      <c r="B360" s="1703">
        <v>98115</v>
      </c>
      <c r="C360" s="1311" t="s">
        <v>2020</v>
      </c>
      <c r="D360" s="80" t="s">
        <v>55</v>
      </c>
      <c r="E360" s="1310">
        <v>99.33</v>
      </c>
      <c r="F360" s="1320">
        <f>VLOOKUP(B360,'CADERNO DE COMPOSIÇÃO'!$A$8:$J$15448,10,FALSE)</f>
        <v>98.850000000000009</v>
      </c>
      <c r="G360" s="1372">
        <f t="shared" si="90"/>
        <v>4</v>
      </c>
      <c r="H360" s="1678">
        <v>4</v>
      </c>
      <c r="I360" s="1374">
        <f t="shared" si="91"/>
        <v>120.82</v>
      </c>
      <c r="J360" s="77">
        <f t="shared" si="92"/>
        <v>483.28</v>
      </c>
      <c r="K360" s="631"/>
      <c r="L360" s="344"/>
      <c r="Q360" t="str">
        <f t="shared" si="83"/>
        <v>ok</v>
      </c>
      <c r="R360" t="str">
        <f t="shared" si="84"/>
        <v>ok</v>
      </c>
      <c r="S360" t="str">
        <f t="shared" si="85"/>
        <v>ok</v>
      </c>
      <c r="T360" t="str">
        <f t="shared" si="86"/>
        <v>ok</v>
      </c>
      <c r="U360" s="99">
        <v>99.33</v>
      </c>
      <c r="V360" s="1822">
        <v>4</v>
      </c>
      <c r="W360" s="1822">
        <v>121.41</v>
      </c>
      <c r="X360" s="1822">
        <v>485.64</v>
      </c>
    </row>
    <row r="361" spans="1:24" ht="17.25" customHeight="1">
      <c r="A361" s="1702" t="s">
        <v>1336</v>
      </c>
      <c r="B361" s="1705" t="s">
        <v>1912</v>
      </c>
      <c r="C361" s="1312" t="s">
        <v>2126</v>
      </c>
      <c r="D361" s="1313" t="s">
        <v>54</v>
      </c>
      <c r="E361" s="1073">
        <f>K361</f>
        <v>32.020000000000003</v>
      </c>
      <c r="F361" s="1320">
        <f>VLOOKUP(B361,'CADERNO DE COMPOSIÇÃO'!$A$8:$J$15448,10,FALSE)</f>
        <v>31.880000000000003</v>
      </c>
      <c r="G361" s="1372">
        <f t="shared" si="90"/>
        <v>5.0999999999999996</v>
      </c>
      <c r="H361" s="1108">
        <v>5.0999999999999996</v>
      </c>
      <c r="I361" s="1374">
        <f t="shared" si="91"/>
        <v>38.96</v>
      </c>
      <c r="J361" s="77">
        <f t="shared" si="92"/>
        <v>198.69</v>
      </c>
      <c r="K361" s="332">
        <f>'COMP ETE 1'!F29</f>
        <v>32.020000000000003</v>
      </c>
      <c r="L361" s="224" t="s">
        <v>2127</v>
      </c>
      <c r="Q361" t="str">
        <f t="shared" si="83"/>
        <v>ok</v>
      </c>
      <c r="R361" t="str">
        <f t="shared" si="84"/>
        <v>ok</v>
      </c>
      <c r="S361" t="str">
        <f t="shared" si="85"/>
        <v>ok</v>
      </c>
      <c r="T361" t="str">
        <f t="shared" si="86"/>
        <v>ok</v>
      </c>
      <c r="U361" s="99">
        <v>32.020000000000003</v>
      </c>
      <c r="V361" s="1822">
        <v>5.0999999999999996</v>
      </c>
      <c r="W361" s="1822">
        <v>39.130000000000003</v>
      </c>
      <c r="X361" s="1822">
        <v>199.56</v>
      </c>
    </row>
    <row r="362" spans="1:24" ht="15.75" customHeight="1">
      <c r="A362" s="1702" t="s">
        <v>1337</v>
      </c>
      <c r="B362" s="1308">
        <v>102719</v>
      </c>
      <c r="C362" s="1311" t="s">
        <v>2380</v>
      </c>
      <c r="D362" s="1704" t="s">
        <v>47</v>
      </c>
      <c r="E362" s="1073">
        <v>149.76</v>
      </c>
      <c r="F362" s="1320">
        <f>VLOOKUP(B362,'CADERNO DE COMPOSIÇÃO'!$A$8:$J$15448,10,FALSE)</f>
        <v>149.15</v>
      </c>
      <c r="G362" s="1372">
        <f t="shared" si="90"/>
        <v>1.36</v>
      </c>
      <c r="H362" s="1108">
        <v>1.36</v>
      </c>
      <c r="I362" s="1374">
        <f t="shared" si="91"/>
        <v>182.3</v>
      </c>
      <c r="J362" s="77">
        <f t="shared" si="92"/>
        <v>247.92</v>
      </c>
      <c r="K362" s="310"/>
      <c r="L362" s="224"/>
      <c r="Q362" t="str">
        <f t="shared" si="83"/>
        <v>ok</v>
      </c>
      <c r="R362" t="str">
        <f t="shared" si="84"/>
        <v>ok</v>
      </c>
      <c r="S362" t="str">
        <f t="shared" si="85"/>
        <v>ok</v>
      </c>
      <c r="T362" t="str">
        <f t="shared" si="86"/>
        <v>ok</v>
      </c>
      <c r="U362" s="99">
        <v>149.76</v>
      </c>
      <c r="V362" s="1822">
        <v>1.36</v>
      </c>
      <c r="W362" s="1822">
        <v>183.05</v>
      </c>
      <c r="X362" s="1822">
        <v>248.94</v>
      </c>
    </row>
    <row r="363" spans="1:24">
      <c r="A363" s="1493"/>
      <c r="B363" s="1032"/>
      <c r="C363" s="1750"/>
      <c r="D363" s="1032"/>
      <c r="E363" s="1073"/>
      <c r="F363" s="1073"/>
      <c r="G363" s="1079" t="str">
        <f t="shared" si="90"/>
        <v xml:space="preserve"> </v>
      </c>
      <c r="H363" s="1732"/>
      <c r="I363" s="1422" t="s">
        <v>15</v>
      </c>
      <c r="J363" s="1035">
        <f>TRUNC(SUM(J351:J362),2)</f>
        <v>9281.23</v>
      </c>
      <c r="K363" s="310"/>
      <c r="L363" s="122"/>
      <c r="Q363" t="str">
        <f t="shared" si="83"/>
        <v>ok</v>
      </c>
      <c r="R363" t="str">
        <f t="shared" si="84"/>
        <v>ok</v>
      </c>
      <c r="S363" t="str">
        <f t="shared" si="85"/>
        <v>ok</v>
      </c>
      <c r="T363" t="str">
        <f t="shared" si="86"/>
        <v>ok</v>
      </c>
      <c r="U363" s="99"/>
      <c r="V363" s="1822" t="s">
        <v>42</v>
      </c>
      <c r="W363" s="1825" t="s">
        <v>15</v>
      </c>
      <c r="X363" s="1822">
        <v>9308.7999999999993</v>
      </c>
    </row>
    <row r="364" spans="1:24">
      <c r="A364" s="1672">
        <v>16</v>
      </c>
      <c r="B364" s="1617"/>
      <c r="C364" s="1618" t="s">
        <v>2026</v>
      </c>
      <c r="D364" s="1620"/>
      <c r="E364" s="1751"/>
      <c r="F364" s="1751"/>
      <c r="G364" s="1752"/>
      <c r="H364" s="1753"/>
      <c r="I364" s="1753"/>
      <c r="J364" s="1673"/>
      <c r="K364" s="273"/>
      <c r="L364" s="53"/>
      <c r="Q364" t="str">
        <f t="shared" si="83"/>
        <v>ok</v>
      </c>
      <c r="R364" t="str">
        <f t="shared" si="84"/>
        <v>ok</v>
      </c>
      <c r="S364" t="str">
        <f t="shared" si="85"/>
        <v>ok</v>
      </c>
      <c r="T364" t="str">
        <f t="shared" si="86"/>
        <v>ok</v>
      </c>
      <c r="U364" s="99"/>
      <c r="W364" s="1822"/>
      <c r="X364" s="1822"/>
    </row>
    <row r="365" spans="1:24" ht="28.5">
      <c r="A365" s="1400" t="s">
        <v>156</v>
      </c>
      <c r="B365" s="1706" t="s">
        <v>1655</v>
      </c>
      <c r="C365" s="1642" t="s">
        <v>2021</v>
      </c>
      <c r="D365" s="1376" t="s">
        <v>46</v>
      </c>
      <c r="E365" s="1314">
        <f>K365</f>
        <v>978.05</v>
      </c>
      <c r="F365" s="1320">
        <f>VLOOKUP(B365,'CADERNO DE COMPOSIÇÃO'!$A$8:$J$15448,10,FALSE)</f>
        <v>973.80000000000007</v>
      </c>
      <c r="G365" s="1372">
        <f t="shared" ref="G365:G370" si="93">IF(OR(E365&lt;=0)," ",TRUNC(H365,2))</f>
        <v>2.4</v>
      </c>
      <c r="H365" s="1379">
        <v>2.4</v>
      </c>
      <c r="I365" s="1374">
        <f t="shared" ref="I365:I370" si="94">TRUNC(F365*(1+$J$11),2)</f>
        <v>1190.27</v>
      </c>
      <c r="J365" s="77">
        <f t="shared" ref="J365:J370" si="95">TRUNC(I365*G365,2)</f>
        <v>2856.64</v>
      </c>
      <c r="K365" s="540">
        <f>'COMP CIVIL'!F436</f>
        <v>978.05</v>
      </c>
      <c r="L365" s="390"/>
      <c r="Q365" t="str">
        <f t="shared" si="83"/>
        <v>ok</v>
      </c>
      <c r="R365" t="str">
        <f t="shared" si="84"/>
        <v>ok</v>
      </c>
      <c r="S365" t="str">
        <f t="shared" si="85"/>
        <v>ok</v>
      </c>
      <c r="T365" t="str">
        <f t="shared" si="86"/>
        <v>ok</v>
      </c>
      <c r="U365" s="99">
        <v>978.05</v>
      </c>
      <c r="V365" s="1822">
        <v>2.4</v>
      </c>
      <c r="W365" s="1822">
        <v>1195.47</v>
      </c>
      <c r="X365" s="1822">
        <v>2869.12</v>
      </c>
    </row>
    <row r="366" spans="1:24" ht="33" customHeight="1">
      <c r="A366" s="1400" t="s">
        <v>2027</v>
      </c>
      <c r="B366" s="1707">
        <v>100862</v>
      </c>
      <c r="C366" s="1311" t="s">
        <v>2031</v>
      </c>
      <c r="D366" s="1313" t="s">
        <v>55</v>
      </c>
      <c r="E366" s="1314">
        <v>42.76</v>
      </c>
      <c r="F366" s="1320">
        <f>VLOOKUP(B366,'CADERNO DE COMPOSIÇÃO'!$A$8:$J$15448,10,FALSE)</f>
        <v>42.589999999999996</v>
      </c>
      <c r="G366" s="1372">
        <f t="shared" si="93"/>
        <v>4</v>
      </c>
      <c r="H366" s="1379">
        <v>4</v>
      </c>
      <c r="I366" s="1374">
        <f t="shared" si="94"/>
        <v>52.05</v>
      </c>
      <c r="J366" s="77">
        <f t="shared" si="95"/>
        <v>208.2</v>
      </c>
      <c r="K366" s="540"/>
      <c r="L366" s="390"/>
      <c r="Q366" t="str">
        <f t="shared" si="83"/>
        <v>ok</v>
      </c>
      <c r="R366" t="str">
        <f t="shared" si="84"/>
        <v>ok</v>
      </c>
      <c r="S366" t="str">
        <f t="shared" si="85"/>
        <v>ok</v>
      </c>
      <c r="T366" t="str">
        <f t="shared" si="86"/>
        <v>ok</v>
      </c>
      <c r="U366" s="99">
        <v>42.76</v>
      </c>
      <c r="V366" s="1822">
        <v>4</v>
      </c>
      <c r="W366" s="1822">
        <v>52.26</v>
      </c>
      <c r="X366" s="1822">
        <v>209.04</v>
      </c>
    </row>
    <row r="367" spans="1:24" ht="31.5" customHeight="1">
      <c r="A367" s="1400" t="s">
        <v>181</v>
      </c>
      <c r="B367" s="1706" t="s">
        <v>1664</v>
      </c>
      <c r="C367" s="1642" t="s">
        <v>1646</v>
      </c>
      <c r="D367" s="1376" t="s">
        <v>54</v>
      </c>
      <c r="E367" s="1314">
        <f>K367</f>
        <v>104.55</v>
      </c>
      <c r="F367" s="1320">
        <f>VLOOKUP(B367,'CADERNO DE COMPOSIÇÃO'!$A$8:$J$15448,10,FALSE)</f>
        <v>104.06</v>
      </c>
      <c r="G367" s="1372">
        <f t="shared" si="93"/>
        <v>7</v>
      </c>
      <c r="H367" s="1379">
        <v>7</v>
      </c>
      <c r="I367" s="1374">
        <f t="shared" si="94"/>
        <v>127.19</v>
      </c>
      <c r="J367" s="77">
        <f t="shared" si="95"/>
        <v>890.33</v>
      </c>
      <c r="K367" s="540">
        <f>'COMP CIVIL'!F449</f>
        <v>104.55</v>
      </c>
      <c r="L367" s="638"/>
      <c r="Q367" t="str">
        <f t="shared" si="83"/>
        <v>ok</v>
      </c>
      <c r="R367" t="str">
        <f t="shared" si="84"/>
        <v>ok</v>
      </c>
      <c r="S367" t="str">
        <f t="shared" si="85"/>
        <v>ok</v>
      </c>
      <c r="T367" t="str">
        <f t="shared" si="86"/>
        <v>ok</v>
      </c>
      <c r="U367" s="99">
        <v>104.55</v>
      </c>
      <c r="V367" s="1822">
        <v>7</v>
      </c>
      <c r="W367" s="1822">
        <v>127.79</v>
      </c>
      <c r="X367" s="1822">
        <v>894.53</v>
      </c>
    </row>
    <row r="368" spans="1:24" ht="17.25" customHeight="1">
      <c r="A368" s="1400" t="s">
        <v>1424</v>
      </c>
      <c r="B368" s="1706" t="s">
        <v>2022</v>
      </c>
      <c r="C368" s="1642" t="s">
        <v>2032</v>
      </c>
      <c r="D368" s="1380" t="s">
        <v>46</v>
      </c>
      <c r="E368" s="1073">
        <f>K368</f>
        <v>339.55</v>
      </c>
      <c r="F368" s="1320">
        <f>VLOOKUP(B368,'CADERNO DE COMPOSIÇÃO'!$A$8:$J$15448,10,FALSE)</f>
        <v>338.21999999999997</v>
      </c>
      <c r="G368" s="1079">
        <f t="shared" si="93"/>
        <v>0.03</v>
      </c>
      <c r="H368" s="1109">
        <v>3.5999999999999997E-2</v>
      </c>
      <c r="I368" s="1034">
        <f t="shared" si="94"/>
        <v>413.4</v>
      </c>
      <c r="J368" s="1037">
        <f t="shared" si="95"/>
        <v>12.4</v>
      </c>
      <c r="K368" s="540">
        <f>'COMP CIVIL'!F464</f>
        <v>339.55</v>
      </c>
      <c r="L368" s="390"/>
      <c r="Q368" t="str">
        <f t="shared" si="83"/>
        <v>ok</v>
      </c>
      <c r="R368" t="str">
        <f t="shared" si="84"/>
        <v>ok</v>
      </c>
      <c r="S368" t="str">
        <f t="shared" si="85"/>
        <v>ok</v>
      </c>
      <c r="T368" t="str">
        <f t="shared" si="86"/>
        <v>ok</v>
      </c>
      <c r="U368" s="99">
        <v>339.55</v>
      </c>
      <c r="V368" s="1822">
        <v>0.03</v>
      </c>
      <c r="W368" s="1822">
        <v>415.03</v>
      </c>
      <c r="X368" s="1822">
        <v>12.45</v>
      </c>
    </row>
    <row r="369" spans="1:24" ht="47.25" customHeight="1">
      <c r="A369" s="1400" t="s">
        <v>2036</v>
      </c>
      <c r="B369" s="1708">
        <v>102253</v>
      </c>
      <c r="C369" s="1311" t="s">
        <v>2030</v>
      </c>
      <c r="D369" s="1313" t="s">
        <v>46</v>
      </c>
      <c r="E369" s="1073">
        <v>1075.08</v>
      </c>
      <c r="F369" s="1320">
        <f>VLOOKUP(B369,'CADERNO DE COMPOSIÇÃO'!$A$8:$J$15448,10,FALSE)</f>
        <v>1069.8300000000002</v>
      </c>
      <c r="G369" s="1079">
        <f t="shared" si="93"/>
        <v>6.34</v>
      </c>
      <c r="H369" s="1108">
        <v>6.34</v>
      </c>
      <c r="I369" s="1034">
        <f t="shared" si="94"/>
        <v>1307.6500000000001</v>
      </c>
      <c r="J369" s="1037">
        <f t="shared" si="95"/>
        <v>8290.5</v>
      </c>
      <c r="K369" s="168"/>
      <c r="L369" s="390"/>
      <c r="Q369" t="str">
        <f t="shared" si="83"/>
        <v>ok</v>
      </c>
      <c r="R369" t="str">
        <f t="shared" si="84"/>
        <v>ok</v>
      </c>
      <c r="S369" t="str">
        <f t="shared" si="85"/>
        <v>ok</v>
      </c>
      <c r="T369" t="str">
        <f t="shared" si="86"/>
        <v>ok</v>
      </c>
      <c r="U369" s="99">
        <v>1075.08</v>
      </c>
      <c r="V369" s="1822">
        <v>6.34</v>
      </c>
      <c r="W369" s="1822">
        <v>1314.07</v>
      </c>
      <c r="X369" s="1822">
        <v>8331.2000000000007</v>
      </c>
    </row>
    <row r="370" spans="1:24">
      <c r="A370" s="1400" t="s">
        <v>2037</v>
      </c>
      <c r="B370" s="1498" t="s">
        <v>1654</v>
      </c>
      <c r="C370" s="1311" t="s">
        <v>726</v>
      </c>
      <c r="D370" s="1380" t="s">
        <v>46</v>
      </c>
      <c r="E370" s="1314">
        <f>K370</f>
        <v>1008.4599999999999</v>
      </c>
      <c r="F370" s="1320">
        <f>VLOOKUP(B370,'CADERNO DE COMPOSIÇÃO'!$A$8:$J$15448,10,FALSE)</f>
        <v>1003.73</v>
      </c>
      <c r="G370" s="1079">
        <f t="shared" si="93"/>
        <v>0.42</v>
      </c>
      <c r="H370" s="1108">
        <v>0.42</v>
      </c>
      <c r="I370" s="1034">
        <f t="shared" si="94"/>
        <v>1226.8499999999999</v>
      </c>
      <c r="J370" s="1037">
        <f t="shared" si="95"/>
        <v>515.27</v>
      </c>
      <c r="K370" s="540">
        <f>'COMP CIVIL'!F423</f>
        <v>1008.4599999999999</v>
      </c>
      <c r="L370" s="390"/>
      <c r="Q370" t="str">
        <f t="shared" si="83"/>
        <v>ok</v>
      </c>
      <c r="R370" t="str">
        <f t="shared" si="84"/>
        <v>ok</v>
      </c>
      <c r="S370" t="str">
        <f t="shared" si="85"/>
        <v>ok</v>
      </c>
      <c r="T370" t="str">
        <f t="shared" si="86"/>
        <v>ok</v>
      </c>
      <c r="U370" s="99">
        <v>1008.4599999999999</v>
      </c>
      <c r="V370" s="1822">
        <v>0.42</v>
      </c>
      <c r="W370" s="1822">
        <v>1232.6400000000001</v>
      </c>
      <c r="X370" s="1822">
        <v>517.70000000000005</v>
      </c>
    </row>
    <row r="371" spans="1:24">
      <c r="A371" s="1092"/>
      <c r="B371" s="1032"/>
      <c r="C371" s="1032"/>
      <c r="D371" s="1032"/>
      <c r="E371" s="1073"/>
      <c r="F371" s="1320"/>
      <c r="G371" s="1033"/>
      <c r="H371" s="1034"/>
      <c r="I371" s="1422" t="s">
        <v>15</v>
      </c>
      <c r="J371" s="1035">
        <f>TRUNC(SUM(J365:J370),2)</f>
        <v>12773.34</v>
      </c>
      <c r="K371" s="168"/>
      <c r="L371" s="390"/>
      <c r="Q371" t="str">
        <f t="shared" si="83"/>
        <v>ok</v>
      </c>
      <c r="R371" t="str">
        <f t="shared" si="84"/>
        <v>ok</v>
      </c>
      <c r="S371" t="str">
        <f t="shared" si="85"/>
        <v>ok</v>
      </c>
      <c r="T371" t="str">
        <f t="shared" si="86"/>
        <v>ok</v>
      </c>
      <c r="U371" s="99"/>
      <c r="W371" s="1825" t="s">
        <v>15</v>
      </c>
      <c r="X371" s="1822">
        <v>12834.04</v>
      </c>
    </row>
    <row r="372" spans="1:24" ht="13.5" customHeight="1">
      <c r="A372" s="1672">
        <v>17</v>
      </c>
      <c r="B372" s="1617"/>
      <c r="C372" s="1746" t="s">
        <v>612</v>
      </c>
      <c r="D372" s="1747"/>
      <c r="E372" s="1748"/>
      <c r="F372" s="1748"/>
      <c r="G372" s="1749" t="str">
        <f>IF(OR(E372&lt;=0)," ",TRUNC(H372,2))</f>
        <v xml:space="preserve"> </v>
      </c>
      <c r="H372" s="1749"/>
      <c r="I372" s="1749" t="str">
        <f>IF(OR(E372&lt;=0)," ",TRUNC((E372*(1+$J$11)),2))</f>
        <v xml:space="preserve"> </v>
      </c>
      <c r="J372" s="1762" t="str">
        <f>IF(OR(E372&lt;=0)," ",TRUNC((I372*G372),2))</f>
        <v xml:space="preserve"> </v>
      </c>
      <c r="K372" s="314"/>
      <c r="L372" s="53"/>
      <c r="Q372" t="str">
        <f t="shared" si="83"/>
        <v>ok</v>
      </c>
      <c r="R372" t="str">
        <f t="shared" si="84"/>
        <v>ok</v>
      </c>
      <c r="S372" t="str">
        <f t="shared" si="85"/>
        <v>ok</v>
      </c>
      <c r="T372" t="str">
        <f t="shared" si="86"/>
        <v>ok</v>
      </c>
      <c r="U372" s="99"/>
      <c r="V372" s="1822" t="s">
        <v>42</v>
      </c>
      <c r="W372" s="1822" t="s">
        <v>42</v>
      </c>
      <c r="X372" s="1822" t="s">
        <v>42</v>
      </c>
    </row>
    <row r="373" spans="1:24" ht="14.25" customHeight="1">
      <c r="A373" s="1739" t="s">
        <v>182</v>
      </c>
      <c r="B373" s="1740"/>
      <c r="C373" s="1741" t="s">
        <v>614</v>
      </c>
      <c r="D373" s="1742"/>
      <c r="E373" s="1743"/>
      <c r="F373" s="1743"/>
      <c r="G373" s="1744"/>
      <c r="H373" s="1745"/>
      <c r="I373" s="1111"/>
      <c r="J373" s="1112"/>
      <c r="K373" s="438" t="s">
        <v>1363</v>
      </c>
      <c r="L373" s="53"/>
      <c r="Q373" t="str">
        <f t="shared" si="83"/>
        <v>ok</v>
      </c>
      <c r="R373" t="str">
        <f t="shared" si="84"/>
        <v>ok</v>
      </c>
      <c r="S373" t="str">
        <f t="shared" si="85"/>
        <v>ok</v>
      </c>
      <c r="T373" t="str">
        <f t="shared" si="86"/>
        <v>ok</v>
      </c>
      <c r="U373" s="99"/>
      <c r="V373" s="1821"/>
      <c r="W373" s="1822"/>
      <c r="X373" s="1822"/>
    </row>
    <row r="374" spans="1:24" ht="28.5">
      <c r="A374" s="1400" t="s">
        <v>1401</v>
      </c>
      <c r="B374" s="1376">
        <v>96527</v>
      </c>
      <c r="C374" s="1311" t="s">
        <v>615</v>
      </c>
      <c r="D374" s="1319" t="s">
        <v>47</v>
      </c>
      <c r="E374" s="1314">
        <v>116.35</v>
      </c>
      <c r="F374" s="1320">
        <f>VLOOKUP(B374,'CADERNO DE COMPOSIÇÃO'!$A$8:$J$15448,10,FALSE)</f>
        <v>116.35</v>
      </c>
      <c r="G374" s="1419">
        <f t="shared" ref="G374:G381" si="96">IF(OR(E374&lt;=0)," ",TRUNC(H374,2))</f>
        <v>33.369999999999997</v>
      </c>
      <c r="H374" s="1381">
        <v>33.369999999999997</v>
      </c>
      <c r="I374" s="1374">
        <f t="shared" ref="I374:I381" si="97">TRUNC(F374*(1+$J$11),2)</f>
        <v>142.21</v>
      </c>
      <c r="J374" s="77">
        <f t="shared" ref="J374:J381" si="98">TRUNC(I374*G374,2)</f>
        <v>4745.54</v>
      </c>
      <c r="K374" s="314"/>
      <c r="L374" s="387"/>
      <c r="Q374" t="str">
        <f t="shared" si="83"/>
        <v>ok</v>
      </c>
      <c r="R374" t="str">
        <f t="shared" si="84"/>
        <v>ok</v>
      </c>
      <c r="S374" t="str">
        <f t="shared" si="85"/>
        <v>ok</v>
      </c>
      <c r="T374" t="str">
        <f t="shared" si="86"/>
        <v>ok</v>
      </c>
      <c r="U374" s="99">
        <v>116.35</v>
      </c>
      <c r="V374" s="1821">
        <v>33.369999999999997</v>
      </c>
      <c r="W374" s="1822">
        <v>142.21</v>
      </c>
      <c r="X374" s="1822">
        <v>4745.54</v>
      </c>
    </row>
    <row r="375" spans="1:24" ht="19.5" customHeight="1">
      <c r="A375" s="1400" t="s">
        <v>1402</v>
      </c>
      <c r="B375" s="1318">
        <v>96995</v>
      </c>
      <c r="C375" s="1311" t="s">
        <v>414</v>
      </c>
      <c r="D375" s="1316" t="s">
        <v>47</v>
      </c>
      <c r="E375" s="1320">
        <v>46.65</v>
      </c>
      <c r="F375" s="1320">
        <f>VLOOKUP(B375,'CADERNO DE COMPOSIÇÃO'!$A$8:$J$15448,10,FALSE)</f>
        <v>46.65</v>
      </c>
      <c r="G375" s="1419">
        <f t="shared" si="96"/>
        <v>24.27</v>
      </c>
      <c r="H375" s="1381">
        <v>24.27</v>
      </c>
      <c r="I375" s="1374">
        <f t="shared" si="97"/>
        <v>57.02</v>
      </c>
      <c r="J375" s="77">
        <f t="shared" si="98"/>
        <v>1383.87</v>
      </c>
      <c r="K375" s="314"/>
      <c r="L375" s="387"/>
      <c r="Q375" t="str">
        <f t="shared" si="83"/>
        <v>ok</v>
      </c>
      <c r="R375" t="str">
        <f t="shared" si="84"/>
        <v>ok</v>
      </c>
      <c r="S375" t="str">
        <f t="shared" si="85"/>
        <v>ok</v>
      </c>
      <c r="T375" t="str">
        <f t="shared" si="86"/>
        <v>ok</v>
      </c>
      <c r="U375" s="1821">
        <v>46.65</v>
      </c>
      <c r="V375" s="1821">
        <v>24.27</v>
      </c>
      <c r="W375" s="1822">
        <v>57.02</v>
      </c>
      <c r="X375" s="1822">
        <v>1383.87</v>
      </c>
    </row>
    <row r="376" spans="1:24" ht="33" customHeight="1">
      <c r="A376" s="1400" t="s">
        <v>1403</v>
      </c>
      <c r="B376" s="1304">
        <v>96536</v>
      </c>
      <c r="C376" s="1311" t="s">
        <v>423</v>
      </c>
      <c r="D376" s="1304" t="s">
        <v>46</v>
      </c>
      <c r="E376" s="1314">
        <v>75.89</v>
      </c>
      <c r="F376" s="1320">
        <f>VLOOKUP(B376,'CADERNO DE COMPOSIÇÃO'!$A$8:$J$15448,10,FALSE)</f>
        <v>75.670000000000016</v>
      </c>
      <c r="G376" s="1419">
        <f t="shared" si="96"/>
        <v>133</v>
      </c>
      <c r="H376" s="1080">
        <v>133</v>
      </c>
      <c r="I376" s="1034">
        <f t="shared" si="97"/>
        <v>92.49</v>
      </c>
      <c r="J376" s="1037">
        <f t="shared" si="98"/>
        <v>12301.17</v>
      </c>
      <c r="K376" s="314"/>
      <c r="L376" s="387"/>
      <c r="Q376" t="str">
        <f t="shared" si="83"/>
        <v>ok</v>
      </c>
      <c r="R376" t="str">
        <f t="shared" si="84"/>
        <v>ok</v>
      </c>
      <c r="S376" t="str">
        <f t="shared" si="85"/>
        <v>ok</v>
      </c>
      <c r="T376" t="str">
        <f t="shared" si="86"/>
        <v>ok</v>
      </c>
      <c r="U376" s="99">
        <v>75.89</v>
      </c>
      <c r="V376" s="1821">
        <v>133</v>
      </c>
      <c r="W376" s="1822">
        <v>92.76</v>
      </c>
      <c r="X376" s="1822">
        <v>12337.08</v>
      </c>
    </row>
    <row r="377" spans="1:24" ht="30.75" customHeight="1">
      <c r="A377" s="1400" t="s">
        <v>1404</v>
      </c>
      <c r="B377" s="1304">
        <v>94965</v>
      </c>
      <c r="C377" s="1496" t="s">
        <v>420</v>
      </c>
      <c r="D377" s="1110" t="s">
        <v>47</v>
      </c>
      <c r="E377" s="1314">
        <v>568</v>
      </c>
      <c r="F377" s="1320">
        <f>VLOOKUP(B377,'CADERNO DE COMPOSIÇÃO'!$A$8:$J$15448,10,FALSE)</f>
        <v>563.54999999999995</v>
      </c>
      <c r="G377" s="1419">
        <f t="shared" si="96"/>
        <v>9.1</v>
      </c>
      <c r="H377" s="1080">
        <v>9.1</v>
      </c>
      <c r="I377" s="1034">
        <f t="shared" si="97"/>
        <v>688.82</v>
      </c>
      <c r="J377" s="1037">
        <f t="shared" si="98"/>
        <v>6268.26</v>
      </c>
      <c r="K377" s="314"/>
      <c r="L377" s="387"/>
      <c r="Q377" t="str">
        <f t="shared" si="83"/>
        <v>ok</v>
      </c>
      <c r="R377" t="str">
        <f t="shared" si="84"/>
        <v>ok</v>
      </c>
      <c r="S377" t="str">
        <f t="shared" si="85"/>
        <v>ok</v>
      </c>
      <c r="T377" t="str">
        <f t="shared" si="86"/>
        <v>ok</v>
      </c>
      <c r="U377" s="99">
        <v>568</v>
      </c>
      <c r="V377" s="1821">
        <v>9.1</v>
      </c>
      <c r="W377" s="1822">
        <v>694.26</v>
      </c>
      <c r="X377" s="1822">
        <v>6317.76</v>
      </c>
    </row>
    <row r="378" spans="1:24" ht="33" customHeight="1">
      <c r="A378" s="1400" t="s">
        <v>1405</v>
      </c>
      <c r="B378" s="1304">
        <v>103673</v>
      </c>
      <c r="C378" s="1311" t="s">
        <v>2384</v>
      </c>
      <c r="D378" s="1110" t="s">
        <v>47</v>
      </c>
      <c r="E378" s="1314">
        <v>37.31</v>
      </c>
      <c r="F378" s="1320">
        <f>VLOOKUP(B378,'CADERNO DE COMPOSIÇÃO'!$A$8:$J$15448,10,FALSE)</f>
        <v>37.31</v>
      </c>
      <c r="G378" s="1419">
        <f t="shared" si="96"/>
        <v>9.1</v>
      </c>
      <c r="H378" s="1080">
        <v>9.1</v>
      </c>
      <c r="I378" s="1034">
        <f t="shared" si="97"/>
        <v>45.6</v>
      </c>
      <c r="J378" s="1037">
        <f t="shared" si="98"/>
        <v>414.96</v>
      </c>
      <c r="K378" s="314"/>
      <c r="L378" s="387"/>
      <c r="Q378" t="str">
        <f t="shared" si="83"/>
        <v>ok</v>
      </c>
      <c r="R378" t="str">
        <f t="shared" si="84"/>
        <v>ok</v>
      </c>
      <c r="S378" t="str">
        <f t="shared" si="85"/>
        <v>ok</v>
      </c>
      <c r="T378" t="str">
        <f t="shared" si="86"/>
        <v>ok</v>
      </c>
      <c r="U378" s="99">
        <v>37.31</v>
      </c>
      <c r="V378" s="1821">
        <v>9.1</v>
      </c>
      <c r="W378" s="1822">
        <v>45.6</v>
      </c>
      <c r="X378" s="1822">
        <v>414.96</v>
      </c>
    </row>
    <row r="379" spans="1:24" ht="33" customHeight="1">
      <c r="A379" s="1400" t="s">
        <v>1406</v>
      </c>
      <c r="B379" s="1304">
        <v>96543</v>
      </c>
      <c r="C379" s="1311" t="s">
        <v>422</v>
      </c>
      <c r="D379" s="1304" t="s">
        <v>100</v>
      </c>
      <c r="E379" s="1314">
        <v>19.399999999999999</v>
      </c>
      <c r="F379" s="1320">
        <f>VLOOKUP(B379,'CADERNO DE COMPOSIÇÃO'!$A$8:$J$15448,10,FALSE)</f>
        <v>19.3</v>
      </c>
      <c r="G379" s="1401">
        <f t="shared" si="96"/>
        <v>239</v>
      </c>
      <c r="H379" s="1601">
        <v>239</v>
      </c>
      <c r="I379" s="1036">
        <f t="shared" si="97"/>
        <v>23.59</v>
      </c>
      <c r="J379" s="1037">
        <f t="shared" si="98"/>
        <v>5638.01</v>
      </c>
      <c r="K379" s="314"/>
      <c r="L379" s="387"/>
      <c r="Q379" t="str">
        <f t="shared" si="83"/>
        <v>ok</v>
      </c>
      <c r="R379" t="str">
        <f t="shared" si="84"/>
        <v>ok</v>
      </c>
      <c r="S379" t="str">
        <f t="shared" si="85"/>
        <v>ok</v>
      </c>
      <c r="T379" t="str">
        <f t="shared" si="86"/>
        <v>ok</v>
      </c>
      <c r="U379" s="99">
        <v>19.399999999999999</v>
      </c>
      <c r="V379" s="1821">
        <v>239</v>
      </c>
      <c r="W379" s="1822">
        <v>23.71</v>
      </c>
      <c r="X379" s="1822">
        <v>5666.69</v>
      </c>
    </row>
    <row r="380" spans="1:24" ht="34.5" customHeight="1">
      <c r="A380" s="1400" t="s">
        <v>1407</v>
      </c>
      <c r="B380" s="1304">
        <v>92762</v>
      </c>
      <c r="C380" s="1311" t="s">
        <v>2219</v>
      </c>
      <c r="D380" s="1304" t="s">
        <v>100</v>
      </c>
      <c r="E380" s="1314">
        <v>13.86</v>
      </c>
      <c r="F380" s="1320">
        <f>VLOOKUP(B380,'CADERNO DE COMPOSIÇÃO'!$A$8:$J$15448,10,FALSE)</f>
        <v>13.780000000000001</v>
      </c>
      <c r="G380" s="1401">
        <f t="shared" si="96"/>
        <v>483</v>
      </c>
      <c r="H380" s="1601">
        <v>483</v>
      </c>
      <c r="I380" s="1036">
        <f t="shared" si="97"/>
        <v>16.84</v>
      </c>
      <c r="J380" s="1037">
        <f t="shared" si="98"/>
        <v>8133.72</v>
      </c>
      <c r="K380" s="346"/>
      <c r="L380" s="346"/>
      <c r="Q380" t="str">
        <f t="shared" si="83"/>
        <v>ok</v>
      </c>
      <c r="R380" t="str">
        <f t="shared" si="84"/>
        <v>ok</v>
      </c>
      <c r="S380" t="str">
        <f t="shared" si="85"/>
        <v>ok</v>
      </c>
      <c r="T380" t="str">
        <f t="shared" si="86"/>
        <v>ok</v>
      </c>
      <c r="U380" s="99">
        <v>13.86</v>
      </c>
      <c r="V380" s="1821">
        <v>483</v>
      </c>
      <c r="W380" s="1822">
        <v>16.940000000000001</v>
      </c>
      <c r="X380" s="1822">
        <v>8182.02</v>
      </c>
    </row>
    <row r="381" spans="1:24" ht="46.5" customHeight="1" thickBot="1">
      <c r="A381" s="1187" t="s">
        <v>1713</v>
      </c>
      <c r="B381" s="1032">
        <v>98562</v>
      </c>
      <c r="C381" s="1093" t="s">
        <v>1714</v>
      </c>
      <c r="D381" s="1032" t="s">
        <v>46</v>
      </c>
      <c r="E381" s="1073">
        <v>45.46</v>
      </c>
      <c r="F381" s="1320">
        <f>VLOOKUP(B381,'CADERNO DE COMPOSIÇÃO'!$A$8:$J$15448,10,FALSE)</f>
        <v>45.329999999999991</v>
      </c>
      <c r="G381" s="1113">
        <f t="shared" si="96"/>
        <v>136.72999999999999</v>
      </c>
      <c r="H381" s="1392">
        <v>136.72999999999999</v>
      </c>
      <c r="I381" s="1036">
        <f t="shared" si="97"/>
        <v>55.4</v>
      </c>
      <c r="J381" s="1037">
        <f t="shared" si="98"/>
        <v>7574.84</v>
      </c>
      <c r="K381" s="346"/>
      <c r="L381" s="346"/>
      <c r="Q381" t="str">
        <f t="shared" si="83"/>
        <v>ok</v>
      </c>
      <c r="R381" t="str">
        <f t="shared" si="84"/>
        <v>ok</v>
      </c>
      <c r="S381" t="str">
        <f t="shared" si="85"/>
        <v>ok</v>
      </c>
      <c r="T381" t="str">
        <f t="shared" si="86"/>
        <v>ok</v>
      </c>
      <c r="U381" s="99">
        <v>45.46</v>
      </c>
      <c r="V381" s="1821">
        <v>136.72999999999999</v>
      </c>
      <c r="W381" s="1822">
        <v>55.56</v>
      </c>
      <c r="X381" s="1822">
        <v>7596.71</v>
      </c>
    </row>
    <row r="382" spans="1:24" ht="16.5" customHeight="1">
      <c r="A382" s="1393" t="s">
        <v>402</v>
      </c>
      <c r="B382" s="1394"/>
      <c r="C382" s="1395" t="s">
        <v>2077</v>
      </c>
      <c r="D382" s="1396"/>
      <c r="E382" s="1397"/>
      <c r="F382" s="1397"/>
      <c r="G382" s="1398"/>
      <c r="H382" s="1399"/>
      <c r="I382" s="1196"/>
      <c r="J382" s="1197"/>
      <c r="K382" s="438"/>
      <c r="L382" s="53"/>
      <c r="Q382" t="str">
        <f t="shared" si="83"/>
        <v>ok</v>
      </c>
      <c r="R382" t="str">
        <f t="shared" si="84"/>
        <v>ok</v>
      </c>
      <c r="S382" t="str">
        <f t="shared" si="85"/>
        <v>ok</v>
      </c>
      <c r="T382" t="str">
        <f t="shared" si="86"/>
        <v>ok</v>
      </c>
      <c r="U382" s="99"/>
      <c r="V382" s="1821"/>
      <c r="W382" s="1822"/>
      <c r="X382" s="1822"/>
    </row>
    <row r="383" spans="1:24" ht="33.75" customHeight="1">
      <c r="A383" s="1400" t="s">
        <v>2133</v>
      </c>
      <c r="B383" s="1304">
        <v>96534</v>
      </c>
      <c r="C383" s="1311" t="s">
        <v>617</v>
      </c>
      <c r="D383" s="1304" t="s">
        <v>46</v>
      </c>
      <c r="E383" s="1073">
        <v>87.83</v>
      </c>
      <c r="F383" s="1320">
        <f>VLOOKUP(B383,'CADERNO DE COMPOSIÇÃO'!$A$8:$J$15448,10,FALSE)</f>
        <v>87.600000000000009</v>
      </c>
      <c r="G383" s="1401">
        <f>IF(OR(E383&lt;=0)," ",TRUNC(H383,2))</f>
        <v>102.9</v>
      </c>
      <c r="H383" s="1080">
        <v>102.9</v>
      </c>
      <c r="I383" s="1036">
        <f t="shared" ref="I383:I386" si="99">TRUNC(F383*(1+$J$11),2)</f>
        <v>107.07</v>
      </c>
      <c r="J383" s="1037">
        <f t="shared" ref="J383:J386" si="100">TRUNC(I383*G383,2)</f>
        <v>11017.5</v>
      </c>
      <c r="K383" s="314"/>
      <c r="L383" s="347"/>
      <c r="Q383" t="str">
        <f t="shared" si="83"/>
        <v>ok</v>
      </c>
      <c r="R383" t="str">
        <f t="shared" si="84"/>
        <v>ok</v>
      </c>
      <c r="S383" t="str">
        <f t="shared" si="85"/>
        <v>ok</v>
      </c>
      <c r="T383" t="str">
        <f t="shared" si="86"/>
        <v>ok</v>
      </c>
      <c r="U383" s="99">
        <v>87.83</v>
      </c>
      <c r="V383" s="1821">
        <v>102.9</v>
      </c>
      <c r="W383" s="1822">
        <v>107.35</v>
      </c>
      <c r="X383" s="1822">
        <v>11046.31</v>
      </c>
    </row>
    <row r="384" spans="1:24" ht="35.25" customHeight="1">
      <c r="A384" s="1400" t="s">
        <v>2134</v>
      </c>
      <c r="B384" s="1304">
        <v>94965</v>
      </c>
      <c r="C384" s="1496" t="s">
        <v>420</v>
      </c>
      <c r="D384" s="1110" t="s">
        <v>47</v>
      </c>
      <c r="E384" s="1314">
        <v>568</v>
      </c>
      <c r="F384" s="1320">
        <f>VLOOKUP(B384,'CADERNO DE COMPOSIÇÃO'!$A$8:$J$15448,10,FALSE)</f>
        <v>563.54999999999995</v>
      </c>
      <c r="G384" s="1401">
        <f>IF(OR(E384&lt;=0)," ",TRUNC(H384,2))</f>
        <v>8.82</v>
      </c>
      <c r="H384" s="1080">
        <v>8.82</v>
      </c>
      <c r="I384" s="1036">
        <f t="shared" si="99"/>
        <v>688.82</v>
      </c>
      <c r="J384" s="1037">
        <f t="shared" si="100"/>
        <v>6075.39</v>
      </c>
      <c r="K384" s="314"/>
      <c r="L384" s="347"/>
      <c r="Q384" t="str">
        <f t="shared" si="83"/>
        <v>ok</v>
      </c>
      <c r="R384" t="str">
        <f t="shared" si="84"/>
        <v>ok</v>
      </c>
      <c r="S384" t="str">
        <f t="shared" si="85"/>
        <v>ok</v>
      </c>
      <c r="T384" t="str">
        <f t="shared" si="86"/>
        <v>ok</v>
      </c>
      <c r="U384" s="99">
        <v>568</v>
      </c>
      <c r="V384" s="1821">
        <v>8.82</v>
      </c>
      <c r="W384" s="1822">
        <v>694.26</v>
      </c>
      <c r="X384" s="1822">
        <v>6123.37</v>
      </c>
    </row>
    <row r="385" spans="1:24" ht="33" customHeight="1">
      <c r="A385" s="1400" t="s">
        <v>2135</v>
      </c>
      <c r="B385" s="1304">
        <v>103673</v>
      </c>
      <c r="C385" s="1311" t="s">
        <v>421</v>
      </c>
      <c r="D385" s="1110" t="s">
        <v>47</v>
      </c>
      <c r="E385" s="1314">
        <v>37.31</v>
      </c>
      <c r="F385" s="1320">
        <f>VLOOKUP(B385,'CADERNO DE COMPOSIÇÃO'!$A$8:$J$15448,10,FALSE)</f>
        <v>37.31</v>
      </c>
      <c r="G385" s="1401">
        <f>IF(OR(E385&lt;=0)," ",TRUNC(H385,2))</f>
        <v>8.82</v>
      </c>
      <c r="H385" s="1080">
        <v>8.82</v>
      </c>
      <c r="I385" s="1036">
        <f t="shared" si="99"/>
        <v>45.6</v>
      </c>
      <c r="J385" s="1037">
        <f t="shared" si="100"/>
        <v>402.19</v>
      </c>
      <c r="K385" s="314"/>
      <c r="L385" s="347"/>
      <c r="Q385" t="str">
        <f t="shared" si="83"/>
        <v>ok</v>
      </c>
      <c r="R385" t="str">
        <f t="shared" si="84"/>
        <v>ok</v>
      </c>
      <c r="S385" t="str">
        <f t="shared" si="85"/>
        <v>ok</v>
      </c>
      <c r="T385" t="str">
        <f t="shared" si="86"/>
        <v>ok</v>
      </c>
      <c r="U385" s="99">
        <v>37.31</v>
      </c>
      <c r="V385" s="1821">
        <v>8.82</v>
      </c>
      <c r="W385" s="1822">
        <v>45.6</v>
      </c>
      <c r="X385" s="1822">
        <v>402.19</v>
      </c>
    </row>
    <row r="386" spans="1:24" ht="35.25" customHeight="1">
      <c r="A386" s="1400" t="s">
        <v>1408</v>
      </c>
      <c r="B386" s="1304">
        <v>96543</v>
      </c>
      <c r="C386" s="1311" t="s">
        <v>618</v>
      </c>
      <c r="D386" s="1313" t="s">
        <v>100</v>
      </c>
      <c r="E386" s="1073">
        <v>19.399999999999999</v>
      </c>
      <c r="F386" s="1320">
        <f>VLOOKUP(B386,'CADERNO DE COMPOSIÇÃO'!$A$8:$J$15448,10,FALSE)</f>
        <v>19.3</v>
      </c>
      <c r="G386" s="1401">
        <f>IF(OR(E386&lt;=0)," ",TRUNC(H386,2))</f>
        <v>158.71</v>
      </c>
      <c r="H386" s="1080">
        <v>158.71</v>
      </c>
      <c r="I386" s="1036">
        <f t="shared" si="99"/>
        <v>23.59</v>
      </c>
      <c r="J386" s="1037">
        <f t="shared" si="100"/>
        <v>3743.96</v>
      </c>
      <c r="K386" s="314"/>
      <c r="L386" s="346">
        <f>SUM(J383:K386)</f>
        <v>21239.039999999997</v>
      </c>
      <c r="Q386" t="str">
        <f t="shared" si="83"/>
        <v>ok</v>
      </c>
      <c r="R386" t="str">
        <f t="shared" si="84"/>
        <v>ok</v>
      </c>
      <c r="S386" t="str">
        <f t="shared" si="85"/>
        <v>ok</v>
      </c>
      <c r="T386" t="str">
        <f t="shared" si="86"/>
        <v>ok</v>
      </c>
      <c r="U386" s="99">
        <v>19.399999999999999</v>
      </c>
      <c r="V386" s="1821">
        <v>158.71</v>
      </c>
      <c r="W386" s="1822">
        <v>23.71</v>
      </c>
      <c r="X386" s="1822">
        <v>3763.01</v>
      </c>
    </row>
    <row r="387" spans="1:24" ht="14.25" customHeight="1">
      <c r="A387" s="1402" t="s">
        <v>449</v>
      </c>
      <c r="B387" s="1403"/>
      <c r="C387" s="1404" t="s">
        <v>1711</v>
      </c>
      <c r="D387" s="1405"/>
      <c r="E387" s="1406"/>
      <c r="F387" s="1406"/>
      <c r="G387" s="1407"/>
      <c r="H387" s="1408"/>
      <c r="I387" s="1111"/>
      <c r="J387" s="1112"/>
      <c r="K387" s="438"/>
      <c r="L387" s="53"/>
      <c r="Q387" t="str">
        <f t="shared" si="83"/>
        <v>ok</v>
      </c>
      <c r="R387" t="str">
        <f t="shared" si="84"/>
        <v>ok</v>
      </c>
      <c r="S387" t="str">
        <f t="shared" si="85"/>
        <v>ok</v>
      </c>
      <c r="T387" t="str">
        <f t="shared" si="86"/>
        <v>ok</v>
      </c>
      <c r="U387" s="99"/>
      <c r="V387" s="1821"/>
      <c r="W387" s="1822"/>
      <c r="X387" s="1822"/>
    </row>
    <row r="388" spans="1:24" ht="36" customHeight="1">
      <c r="A388" s="1400" t="s">
        <v>1409</v>
      </c>
      <c r="B388" s="1304">
        <v>101173</v>
      </c>
      <c r="C388" s="1311" t="s">
        <v>619</v>
      </c>
      <c r="D388" s="1304" t="s">
        <v>54</v>
      </c>
      <c r="E388" s="1413">
        <v>64.13</v>
      </c>
      <c r="F388" s="1320">
        <f>VLOOKUP(B388,'CADERNO DE COMPOSIÇÃO'!$A$8:$J$15448,10,FALSE)</f>
        <v>63.91</v>
      </c>
      <c r="G388" s="1401">
        <f t="shared" ref="G388:G406" si="101">IF(OR(E388&lt;=0)," ",TRUNC(H388,2))</f>
        <v>98</v>
      </c>
      <c r="H388" s="1080">
        <v>98</v>
      </c>
      <c r="I388" s="1036">
        <f t="shared" ref="I388:I392" si="102">TRUNC(F388*(1+$J$11),2)</f>
        <v>78.11</v>
      </c>
      <c r="J388" s="1037">
        <f t="shared" ref="J388:J392" si="103">TRUNC(I388*G388,2)</f>
        <v>7654.78</v>
      </c>
      <c r="K388" s="314"/>
      <c r="L388" s="388"/>
      <c r="M388" s="389"/>
      <c r="Q388" t="str">
        <f t="shared" si="83"/>
        <v>ok</v>
      </c>
      <c r="R388" t="str">
        <f t="shared" si="84"/>
        <v>ok</v>
      </c>
      <c r="S388" t="str">
        <f t="shared" si="85"/>
        <v>ok</v>
      </c>
      <c r="T388" t="str">
        <f t="shared" si="86"/>
        <v>ok</v>
      </c>
      <c r="U388" s="99">
        <v>64.13</v>
      </c>
      <c r="V388" s="1821">
        <v>98</v>
      </c>
      <c r="W388" s="1822">
        <v>78.38</v>
      </c>
      <c r="X388" s="1822">
        <v>7681.24</v>
      </c>
    </row>
    <row r="389" spans="1:24" ht="35.25" customHeight="1">
      <c r="A389" s="1400" t="s">
        <v>1410</v>
      </c>
      <c r="B389" s="1304">
        <v>94965</v>
      </c>
      <c r="C389" s="1496" t="s">
        <v>420</v>
      </c>
      <c r="D389" s="1110" t="s">
        <v>47</v>
      </c>
      <c r="E389" s="1314">
        <v>568</v>
      </c>
      <c r="F389" s="1320">
        <f>VLOOKUP(B389,'CADERNO DE COMPOSIÇÃO'!$A$8:$J$15448,10,FALSE)</f>
        <v>563.54999999999995</v>
      </c>
      <c r="G389" s="1401">
        <f t="shared" si="101"/>
        <v>3.08</v>
      </c>
      <c r="H389" s="1080">
        <v>3.08</v>
      </c>
      <c r="I389" s="1036">
        <f t="shared" si="102"/>
        <v>688.82</v>
      </c>
      <c r="J389" s="1037">
        <f t="shared" si="103"/>
        <v>2121.56</v>
      </c>
      <c r="K389" s="314"/>
      <c r="L389" s="53"/>
      <c r="Q389" t="str">
        <f t="shared" si="83"/>
        <v>ok</v>
      </c>
      <c r="R389" t="str">
        <f t="shared" si="84"/>
        <v>ok</v>
      </c>
      <c r="S389" t="str">
        <f t="shared" si="85"/>
        <v>ok</v>
      </c>
      <c r="T389" t="str">
        <f t="shared" si="86"/>
        <v>ok</v>
      </c>
      <c r="U389" s="99">
        <v>568</v>
      </c>
      <c r="V389" s="1821">
        <v>3.08</v>
      </c>
      <c r="W389" s="1822">
        <v>694.26</v>
      </c>
      <c r="X389" s="1822">
        <v>2138.3200000000002</v>
      </c>
    </row>
    <row r="390" spans="1:24" ht="33" customHeight="1">
      <c r="A390" s="1400" t="s">
        <v>1411</v>
      </c>
      <c r="B390" s="1304">
        <v>103673</v>
      </c>
      <c r="C390" s="1311" t="s">
        <v>2384</v>
      </c>
      <c r="D390" s="1319" t="s">
        <v>47</v>
      </c>
      <c r="E390" s="1314">
        <v>37.31</v>
      </c>
      <c r="F390" s="1320">
        <f>VLOOKUP(B390,'CADERNO DE COMPOSIÇÃO'!$A$8:$J$15448,10,FALSE)</f>
        <v>37.31</v>
      </c>
      <c r="G390" s="1419">
        <f t="shared" si="101"/>
        <v>3.08</v>
      </c>
      <c r="H390" s="1381">
        <v>3.08</v>
      </c>
      <c r="I390" s="1374">
        <f t="shared" si="102"/>
        <v>45.6</v>
      </c>
      <c r="J390" s="77">
        <f t="shared" si="103"/>
        <v>140.44</v>
      </c>
      <c r="K390" s="314"/>
      <c r="L390" s="53"/>
      <c r="Q390" t="str">
        <f t="shared" si="83"/>
        <v>ok</v>
      </c>
      <c r="R390" t="str">
        <f t="shared" si="84"/>
        <v>ok</v>
      </c>
      <c r="S390" t="str">
        <f t="shared" si="85"/>
        <v>ok</v>
      </c>
      <c r="T390" t="str">
        <f t="shared" si="86"/>
        <v>ok</v>
      </c>
      <c r="U390" s="99">
        <v>37.31</v>
      </c>
      <c r="V390" s="1821">
        <v>3.08</v>
      </c>
      <c r="W390" s="1822">
        <v>45.6</v>
      </c>
      <c r="X390" s="1822">
        <v>140.44</v>
      </c>
    </row>
    <row r="391" spans="1:24" ht="33.75" customHeight="1">
      <c r="A391" s="1400" t="s">
        <v>1412</v>
      </c>
      <c r="B391" s="1670">
        <v>95583</v>
      </c>
      <c r="C391" s="1311" t="s">
        <v>620</v>
      </c>
      <c r="D391" s="1313" t="s">
        <v>100</v>
      </c>
      <c r="E391" s="1314">
        <v>17.79</v>
      </c>
      <c r="F391" s="1320">
        <f>VLOOKUP(B391,'CADERNO DE COMPOSIÇÃO'!$A$8:$J$15448,10,FALSE)</f>
        <v>17.700000000000003</v>
      </c>
      <c r="G391" s="1419">
        <f t="shared" si="101"/>
        <v>68.400000000000006</v>
      </c>
      <c r="H391" s="1381">
        <v>68.400000000000006</v>
      </c>
      <c r="I391" s="1374">
        <f t="shared" si="102"/>
        <v>21.63</v>
      </c>
      <c r="J391" s="77">
        <f t="shared" si="103"/>
        <v>1479.49</v>
      </c>
      <c r="K391" s="314"/>
      <c r="L391" s="53"/>
      <c r="Q391" t="str">
        <f t="shared" si="83"/>
        <v>ok</v>
      </c>
      <c r="R391" t="str">
        <f t="shared" si="84"/>
        <v>ok</v>
      </c>
      <c r="S391" t="str">
        <f t="shared" si="85"/>
        <v>ok</v>
      </c>
      <c r="T391" t="str">
        <f t="shared" si="86"/>
        <v>ok</v>
      </c>
      <c r="U391" s="99">
        <v>17.79</v>
      </c>
      <c r="V391" s="1821">
        <v>68.400000000000006</v>
      </c>
      <c r="W391" s="1822">
        <v>21.74</v>
      </c>
      <c r="X391" s="1822">
        <v>1487.01</v>
      </c>
    </row>
    <row r="392" spans="1:24" ht="32.25" customHeight="1" thickBot="1">
      <c r="A392" s="1119" t="s">
        <v>1413</v>
      </c>
      <c r="B392" s="1409">
        <v>95577</v>
      </c>
      <c r="C392" s="1383" t="s">
        <v>621</v>
      </c>
      <c r="D392" s="1410" t="s">
        <v>100</v>
      </c>
      <c r="E392" s="1329">
        <v>13.51</v>
      </c>
      <c r="F392" s="1320">
        <f>VLOOKUP(B392,'CADERNO DE COMPOSIÇÃO'!$A$8:$J$15448,10,FALSE)</f>
        <v>13.44</v>
      </c>
      <c r="G392" s="1411">
        <f t="shared" si="101"/>
        <v>361.41</v>
      </c>
      <c r="H392" s="1384">
        <v>361.41</v>
      </c>
      <c r="I392" s="1412">
        <f t="shared" si="102"/>
        <v>16.420000000000002</v>
      </c>
      <c r="J392" s="1100">
        <f t="shared" si="103"/>
        <v>5934.35</v>
      </c>
      <c r="K392" s="346"/>
      <c r="L392" s="346"/>
      <c r="Q392" t="str">
        <f t="shared" si="83"/>
        <v>ok</v>
      </c>
      <c r="R392" t="str">
        <f t="shared" si="84"/>
        <v>ok</v>
      </c>
      <c r="S392" t="str">
        <f t="shared" si="85"/>
        <v>ok</v>
      </c>
      <c r="T392" t="str">
        <f t="shared" si="86"/>
        <v>ok</v>
      </c>
      <c r="U392" s="99">
        <v>13.51</v>
      </c>
      <c r="V392" s="1821">
        <v>361.41</v>
      </c>
      <c r="W392" s="1822">
        <v>16.510000000000002</v>
      </c>
      <c r="X392" s="1822">
        <v>5966.87</v>
      </c>
    </row>
    <row r="393" spans="1:24" ht="14.25" customHeight="1">
      <c r="A393" s="1189" t="s">
        <v>611</v>
      </c>
      <c r="B393" s="1190"/>
      <c r="C393" s="1191" t="s">
        <v>1346</v>
      </c>
      <c r="D393" s="1192"/>
      <c r="E393" s="1193"/>
      <c r="F393" s="1193"/>
      <c r="G393" s="1194" t="str">
        <f t="shared" si="101"/>
        <v xml:space="preserve"> </v>
      </c>
      <c r="H393" s="1195"/>
      <c r="I393" s="1196" t="str">
        <f>IF(OR(E393&lt;=0)," ",TRUNC((E393*(1+$J$11)),2))</f>
        <v xml:space="preserve"> </v>
      </c>
      <c r="J393" s="1197" t="str">
        <f>IF(OR(E393&lt;=0)," ",TRUNC((I393*G393),2))</f>
        <v xml:space="preserve"> </v>
      </c>
      <c r="K393" s="438"/>
      <c r="L393" s="53"/>
      <c r="Q393" t="str">
        <f t="shared" si="83"/>
        <v>ok</v>
      </c>
      <c r="R393" t="str">
        <f t="shared" si="84"/>
        <v>ok</v>
      </c>
      <c r="S393" t="str">
        <f t="shared" si="85"/>
        <v>ok</v>
      </c>
      <c r="T393" t="str">
        <f t="shared" si="86"/>
        <v>ok</v>
      </c>
      <c r="U393" s="99"/>
      <c r="V393" s="1821" t="s">
        <v>42</v>
      </c>
      <c r="W393" s="1822" t="s">
        <v>42</v>
      </c>
      <c r="X393" s="1822" t="s">
        <v>42</v>
      </c>
    </row>
    <row r="394" spans="1:24" ht="62.25" customHeight="1">
      <c r="A394" s="1187" t="s">
        <v>1414</v>
      </c>
      <c r="B394" s="1032">
        <v>92427</v>
      </c>
      <c r="C394" s="1093" t="s">
        <v>622</v>
      </c>
      <c r="D394" s="1032" t="s">
        <v>46</v>
      </c>
      <c r="E394" s="1073">
        <v>69.62</v>
      </c>
      <c r="F394" s="1320">
        <f>VLOOKUP(B394,'CADERNO DE COMPOSIÇÃO'!$A$8:$J$15448,10,FALSE)</f>
        <v>69.349999999999994</v>
      </c>
      <c r="G394" s="1414">
        <f t="shared" si="101"/>
        <v>101.25</v>
      </c>
      <c r="H394" s="1080">
        <v>101.25</v>
      </c>
      <c r="I394" s="1034">
        <f t="shared" ref="I394:I398" si="104">TRUNC(F394*(1+$J$11),2)</f>
        <v>84.76</v>
      </c>
      <c r="J394" s="1037">
        <f t="shared" ref="J394:J398" si="105">TRUNC(I394*G394,2)</f>
        <v>8581.9500000000007</v>
      </c>
      <c r="K394" s="314"/>
      <c r="L394" s="53"/>
      <c r="Q394" t="str">
        <f t="shared" si="83"/>
        <v>ok</v>
      </c>
      <c r="R394" t="str">
        <f t="shared" si="84"/>
        <v>ok</v>
      </c>
      <c r="S394" t="str">
        <f t="shared" si="85"/>
        <v>ok</v>
      </c>
      <c r="T394" t="str">
        <f t="shared" si="86"/>
        <v>ok</v>
      </c>
      <c r="U394" s="99">
        <v>69.62</v>
      </c>
      <c r="V394" s="1821">
        <v>101.25</v>
      </c>
      <c r="W394" s="1822">
        <v>85.09</v>
      </c>
      <c r="X394" s="1822">
        <v>8615.36</v>
      </c>
    </row>
    <row r="395" spans="1:24" ht="36.75" customHeight="1">
      <c r="A395" s="1400" t="s">
        <v>1415</v>
      </c>
      <c r="B395" s="1304">
        <v>94965</v>
      </c>
      <c r="C395" s="1311" t="s">
        <v>420</v>
      </c>
      <c r="D395" s="1319" t="s">
        <v>47</v>
      </c>
      <c r="E395" s="1314">
        <v>568</v>
      </c>
      <c r="F395" s="1320">
        <f>VLOOKUP(B395,'CADERNO DE COMPOSIÇÃO'!$A$8:$J$15448,10,FALSE)</f>
        <v>563.54999999999995</v>
      </c>
      <c r="G395" s="1419">
        <f t="shared" si="101"/>
        <v>4.95</v>
      </c>
      <c r="H395" s="1381">
        <v>4.95</v>
      </c>
      <c r="I395" s="1374">
        <f t="shared" si="104"/>
        <v>688.82</v>
      </c>
      <c r="J395" s="77">
        <f t="shared" si="105"/>
        <v>3409.65</v>
      </c>
      <c r="K395" s="314"/>
      <c r="L395" s="53"/>
      <c r="Q395" t="str">
        <f t="shared" si="83"/>
        <v>ok</v>
      </c>
      <c r="R395" t="str">
        <f t="shared" si="84"/>
        <v>ok</v>
      </c>
      <c r="S395" t="str">
        <f t="shared" si="85"/>
        <v>ok</v>
      </c>
      <c r="T395" t="str">
        <f t="shared" si="86"/>
        <v>ok</v>
      </c>
      <c r="U395" s="99">
        <v>568</v>
      </c>
      <c r="V395" s="1821">
        <v>4.95</v>
      </c>
      <c r="W395" s="1822">
        <v>694.26</v>
      </c>
      <c r="X395" s="1822">
        <v>3436.58</v>
      </c>
    </row>
    <row r="396" spans="1:24" ht="36.75" customHeight="1">
      <c r="A396" s="1400" t="s">
        <v>1416</v>
      </c>
      <c r="B396" s="1304">
        <v>103673</v>
      </c>
      <c r="C396" s="1311" t="s">
        <v>2384</v>
      </c>
      <c r="D396" s="1110" t="s">
        <v>47</v>
      </c>
      <c r="E396" s="1314">
        <v>37.31</v>
      </c>
      <c r="F396" s="1320">
        <f>VLOOKUP(B396,'CADERNO DE COMPOSIÇÃO'!$A$8:$J$15448,10,FALSE)</f>
        <v>37.31</v>
      </c>
      <c r="G396" s="1419">
        <f t="shared" si="101"/>
        <v>4.95</v>
      </c>
      <c r="H396" s="1381">
        <v>4.95</v>
      </c>
      <c r="I396" s="1374">
        <f t="shared" si="104"/>
        <v>45.6</v>
      </c>
      <c r="J396" s="77">
        <f t="shared" si="105"/>
        <v>225.72</v>
      </c>
      <c r="K396" s="314"/>
      <c r="L396" s="53"/>
      <c r="Q396" t="str">
        <f t="shared" si="83"/>
        <v>ok</v>
      </c>
      <c r="R396" t="str">
        <f t="shared" si="84"/>
        <v>ok</v>
      </c>
      <c r="S396" t="str">
        <f t="shared" si="85"/>
        <v>ok</v>
      </c>
      <c r="T396" t="str">
        <f t="shared" si="86"/>
        <v>ok</v>
      </c>
      <c r="U396" s="99">
        <v>37.31</v>
      </c>
      <c r="V396" s="1821">
        <v>4.95</v>
      </c>
      <c r="W396" s="1822">
        <v>45.6</v>
      </c>
      <c r="X396" s="1822">
        <v>225.72</v>
      </c>
    </row>
    <row r="397" spans="1:24" ht="48" customHeight="1">
      <c r="A397" s="1400" t="s">
        <v>1417</v>
      </c>
      <c r="B397" s="1304">
        <v>104111</v>
      </c>
      <c r="C397" s="1311" t="s">
        <v>2395</v>
      </c>
      <c r="D397" s="1313" t="s">
        <v>100</v>
      </c>
      <c r="E397" s="1073">
        <v>21.79</v>
      </c>
      <c r="F397" s="1320">
        <f>VLOOKUP(B397,'CADERNO DE COMPOSIÇÃO'!$A$8:$J$15448,10,FALSE)</f>
        <v>21.69</v>
      </c>
      <c r="G397" s="1419">
        <f t="shared" si="101"/>
        <v>117</v>
      </c>
      <c r="H397" s="1381">
        <v>117</v>
      </c>
      <c r="I397" s="1374">
        <f t="shared" si="104"/>
        <v>26.51</v>
      </c>
      <c r="J397" s="77">
        <f t="shared" si="105"/>
        <v>3101.67</v>
      </c>
      <c r="K397" s="314"/>
      <c r="L397" s="53"/>
      <c r="Q397" t="str">
        <f t="shared" si="83"/>
        <v>ok</v>
      </c>
      <c r="R397" t="str">
        <f t="shared" si="84"/>
        <v>ok</v>
      </c>
      <c r="S397" t="str">
        <f t="shared" si="85"/>
        <v>ok</v>
      </c>
      <c r="T397" t="str">
        <f t="shared" si="86"/>
        <v>ok</v>
      </c>
      <c r="U397" s="99">
        <v>21.79</v>
      </c>
      <c r="V397" s="1821">
        <v>117</v>
      </c>
      <c r="W397" s="1822">
        <v>26.63</v>
      </c>
      <c r="X397" s="1822">
        <v>3115.71</v>
      </c>
    </row>
    <row r="398" spans="1:24" ht="39" customHeight="1">
      <c r="A398" s="1187" t="s">
        <v>1418</v>
      </c>
      <c r="B398" s="1032">
        <v>92762</v>
      </c>
      <c r="C398" s="1093" t="s">
        <v>2219</v>
      </c>
      <c r="D398" s="1188" t="s">
        <v>100</v>
      </c>
      <c r="E398" s="1073">
        <v>13.86</v>
      </c>
      <c r="F398" s="1320">
        <f>VLOOKUP(B398,'CADERNO DE COMPOSIÇÃO'!$A$8:$J$15448,10,FALSE)</f>
        <v>13.780000000000001</v>
      </c>
      <c r="G398" s="1414">
        <f t="shared" si="101"/>
        <v>274.5</v>
      </c>
      <c r="H398" s="1080">
        <v>274.5</v>
      </c>
      <c r="I398" s="1034">
        <f t="shared" si="104"/>
        <v>16.84</v>
      </c>
      <c r="J398" s="1037">
        <f t="shared" si="105"/>
        <v>4622.58</v>
      </c>
      <c r="K398" s="346"/>
      <c r="L398" s="346"/>
      <c r="Q398" t="str">
        <f t="shared" si="83"/>
        <v>ok</v>
      </c>
      <c r="R398" t="str">
        <f t="shared" si="84"/>
        <v>ok</v>
      </c>
      <c r="S398" t="str">
        <f t="shared" si="85"/>
        <v>ok</v>
      </c>
      <c r="T398" t="str">
        <f t="shared" si="86"/>
        <v>ok</v>
      </c>
      <c r="U398" s="99">
        <v>13.86</v>
      </c>
      <c r="V398" s="1821">
        <v>274.5</v>
      </c>
      <c r="W398" s="1822">
        <v>16.940000000000001</v>
      </c>
      <c r="X398" s="1822">
        <v>4650.03</v>
      </c>
    </row>
    <row r="399" spans="1:24" ht="14.25" customHeight="1">
      <c r="A399" s="1402" t="s">
        <v>1338</v>
      </c>
      <c r="B399" s="1403"/>
      <c r="C399" s="1415" t="s">
        <v>1345</v>
      </c>
      <c r="D399" s="1405"/>
      <c r="E399" s="1406"/>
      <c r="F399" s="1406"/>
      <c r="G399" s="1416" t="str">
        <f t="shared" si="101"/>
        <v xml:space="preserve"> </v>
      </c>
      <c r="H399" s="1408"/>
      <c r="I399" s="1417" t="str">
        <f>IF(OR(E399&lt;=0)," ",TRUNC((E399*(1+$J$11)),2))</f>
        <v xml:space="preserve"> </v>
      </c>
      <c r="J399" s="1709" t="str">
        <f>IF(OR(E399&lt;=0)," ",TRUNC((I399*G399),2))</f>
        <v xml:space="preserve"> </v>
      </c>
      <c r="K399" s="438" t="s">
        <v>1362</v>
      </c>
      <c r="L399" s="53"/>
      <c r="Q399" t="str">
        <f t="shared" si="83"/>
        <v>ok</v>
      </c>
      <c r="R399" t="str">
        <f t="shared" si="84"/>
        <v>ok</v>
      </c>
      <c r="S399" t="str">
        <f t="shared" si="85"/>
        <v>ok</v>
      </c>
      <c r="T399" t="str">
        <f t="shared" si="86"/>
        <v>ok</v>
      </c>
      <c r="U399" s="99"/>
      <c r="V399" s="1821" t="s">
        <v>42</v>
      </c>
      <c r="W399" s="1822" t="s">
        <v>42</v>
      </c>
      <c r="X399" s="1822" t="s">
        <v>42</v>
      </c>
    </row>
    <row r="400" spans="1:24" ht="47.25" customHeight="1">
      <c r="A400" s="1400" t="s">
        <v>1419</v>
      </c>
      <c r="B400" s="1304">
        <v>91815</v>
      </c>
      <c r="C400" s="1311" t="s">
        <v>2383</v>
      </c>
      <c r="D400" s="1304" t="s">
        <v>46</v>
      </c>
      <c r="E400" s="1073">
        <v>84.15</v>
      </c>
      <c r="F400" s="1320">
        <f>VLOOKUP(B400,'CADERNO DE COMPOSIÇÃO'!$A$8:$J$15448,10,FALSE)</f>
        <v>83.72</v>
      </c>
      <c r="G400" s="1401">
        <f t="shared" si="101"/>
        <v>280.52999999999997</v>
      </c>
      <c r="H400" s="1080">
        <v>280.52999999999997</v>
      </c>
      <c r="I400" s="1036">
        <f t="shared" ref="I400:I403" si="106">TRUNC(F400*(1+$J$11),2)</f>
        <v>102.33</v>
      </c>
      <c r="J400" s="1037">
        <f t="shared" ref="J400:J403" si="107">TRUNC(I400*G400,2)</f>
        <v>28706.63</v>
      </c>
      <c r="K400" s="314"/>
      <c r="L400" s="388"/>
      <c r="Q400" t="str">
        <f t="shared" si="83"/>
        <v>ok</v>
      </c>
      <c r="R400" t="str">
        <f t="shared" si="84"/>
        <v>ok</v>
      </c>
      <c r="S400" t="str">
        <f t="shared" si="85"/>
        <v>ok</v>
      </c>
      <c r="T400" t="str">
        <f t="shared" si="86"/>
        <v>ok</v>
      </c>
      <c r="U400" s="99">
        <v>84.15</v>
      </c>
      <c r="V400" s="1821">
        <v>280.52999999999997</v>
      </c>
      <c r="W400" s="1822">
        <v>102.85</v>
      </c>
      <c r="X400" s="1822">
        <v>28852.51</v>
      </c>
    </row>
    <row r="401" spans="1:24" ht="47.25" customHeight="1">
      <c r="A401" s="1400" t="s">
        <v>1420</v>
      </c>
      <c r="B401" s="1304">
        <v>87894</v>
      </c>
      <c r="C401" s="1311" t="s">
        <v>1722</v>
      </c>
      <c r="D401" s="1304" t="str">
        <f>$D$400</f>
        <v>m²</v>
      </c>
      <c r="E401" s="1073">
        <v>6.54</v>
      </c>
      <c r="F401" s="1320">
        <f>VLOOKUP(B401,'CADERNO DE COMPOSIÇÃO'!$A$8:$J$15448,10,FALSE)</f>
        <v>6.53</v>
      </c>
      <c r="G401" s="1401">
        <f t="shared" si="101"/>
        <v>576.85</v>
      </c>
      <c r="H401" s="1080">
        <v>576.85</v>
      </c>
      <c r="I401" s="1036">
        <f t="shared" si="106"/>
        <v>7.98</v>
      </c>
      <c r="J401" s="1037">
        <f t="shared" si="107"/>
        <v>4603.26</v>
      </c>
      <c r="K401" s="513"/>
      <c r="L401" s="204"/>
      <c r="Q401" t="str">
        <f t="shared" si="83"/>
        <v>ok</v>
      </c>
      <c r="R401" t="str">
        <f t="shared" si="84"/>
        <v>ok</v>
      </c>
      <c r="S401" t="str">
        <f t="shared" si="85"/>
        <v>ok</v>
      </c>
      <c r="T401" t="str">
        <f t="shared" si="86"/>
        <v>ok</v>
      </c>
      <c r="U401" s="99">
        <v>6.54</v>
      </c>
      <c r="V401" s="1821">
        <v>576.85</v>
      </c>
      <c r="W401" s="1822">
        <v>7.99</v>
      </c>
      <c r="X401" s="1822">
        <v>4609.03</v>
      </c>
    </row>
    <row r="402" spans="1:24" ht="45" customHeight="1">
      <c r="A402" s="1400" t="s">
        <v>1421</v>
      </c>
      <c r="B402" s="1304">
        <v>87792</v>
      </c>
      <c r="C402" s="1311" t="s">
        <v>624</v>
      </c>
      <c r="D402" s="1304" t="s">
        <v>46</v>
      </c>
      <c r="E402" s="1073">
        <v>39.17</v>
      </c>
      <c r="F402" s="1320">
        <f>VLOOKUP(B402,'CADERNO DE COMPOSIÇÃO'!$A$8:$J$15448,10,FALSE)</f>
        <v>39.06</v>
      </c>
      <c r="G402" s="1401">
        <f t="shared" si="101"/>
        <v>576.85</v>
      </c>
      <c r="H402" s="1080">
        <v>576.85</v>
      </c>
      <c r="I402" s="1036">
        <f t="shared" si="106"/>
        <v>47.74</v>
      </c>
      <c r="J402" s="1037">
        <f t="shared" si="107"/>
        <v>27538.81</v>
      </c>
      <c r="K402" s="346"/>
      <c r="L402" s="346"/>
      <c r="Q402" t="str">
        <f t="shared" ref="Q402:Q428" si="108">IF(F402&gt;U402,"CONFERIR","ok")</f>
        <v>ok</v>
      </c>
      <c r="R402" t="str">
        <f t="shared" ref="R402:R428" si="109">IF(G402&gt;V402,"CONFERIR","ok")</f>
        <v>ok</v>
      </c>
      <c r="S402" t="str">
        <f t="shared" ref="S402:S428" si="110">IF(I402&gt;W402,"CONFERIR","ok")</f>
        <v>ok</v>
      </c>
      <c r="T402" t="str">
        <f t="shared" ref="T402:T428" si="111">IF(J402&gt;X402,"CONFERIR","ok")</f>
        <v>ok</v>
      </c>
      <c r="U402" s="99">
        <v>39.17</v>
      </c>
      <c r="V402" s="1821">
        <v>576.85</v>
      </c>
      <c r="W402" s="1822">
        <v>47.87</v>
      </c>
      <c r="X402" s="1822">
        <v>27613.8</v>
      </c>
    </row>
    <row r="403" spans="1:24" ht="18" customHeight="1">
      <c r="A403" s="1400" t="s">
        <v>2129</v>
      </c>
      <c r="B403" s="1304" t="s">
        <v>560</v>
      </c>
      <c r="C403" s="1311" t="s">
        <v>1444</v>
      </c>
      <c r="D403" s="1304" t="s">
        <v>46</v>
      </c>
      <c r="E403" s="1073">
        <f>K403</f>
        <v>1110.0700000000002</v>
      </c>
      <c r="F403" s="1320">
        <f>VLOOKUP(B403,'CADERNO DE COMPOSIÇÃO'!$A$8:$J$15448,10,FALSE)</f>
        <v>1104.6300000000001</v>
      </c>
      <c r="G403" s="1401">
        <f t="shared" si="101"/>
        <v>122.41</v>
      </c>
      <c r="H403" s="1080">
        <v>122.41</v>
      </c>
      <c r="I403" s="1036">
        <f t="shared" si="106"/>
        <v>1350.18</v>
      </c>
      <c r="J403" s="1037">
        <f t="shared" si="107"/>
        <v>165275.53</v>
      </c>
      <c r="K403" s="1643">
        <f>'COMP CIVIL'!F146</f>
        <v>1110.0700000000002</v>
      </c>
      <c r="L403" s="1053"/>
      <c r="M403" s="511"/>
      <c r="Q403" t="str">
        <f t="shared" si="108"/>
        <v>ok</v>
      </c>
      <c r="R403" t="str">
        <f t="shared" si="109"/>
        <v>ok</v>
      </c>
      <c r="S403" t="str">
        <f t="shared" si="110"/>
        <v>ok</v>
      </c>
      <c r="T403" t="str">
        <f t="shared" si="111"/>
        <v>ok</v>
      </c>
      <c r="U403" s="99">
        <v>1110.0700000000002</v>
      </c>
      <c r="V403" s="1821">
        <v>122.41</v>
      </c>
      <c r="W403" s="1822">
        <v>1356.83</v>
      </c>
      <c r="X403" s="1822">
        <v>166089.56</v>
      </c>
    </row>
    <row r="404" spans="1:24" ht="14.25" customHeight="1">
      <c r="A404" s="1402" t="s">
        <v>1339</v>
      </c>
      <c r="B404" s="1403"/>
      <c r="C404" s="1415" t="s">
        <v>2445</v>
      </c>
      <c r="D404" s="1405"/>
      <c r="E404" s="1406"/>
      <c r="F404" s="1406"/>
      <c r="G404" s="1407" t="str">
        <f t="shared" si="101"/>
        <v xml:space="preserve"> </v>
      </c>
      <c r="H404" s="1408"/>
      <c r="I404" s="1111" t="str">
        <f>IF(OR(E404&lt;=0)," ",TRUNC((E404*(1+$J$11)),2))</f>
        <v xml:space="preserve"> </v>
      </c>
      <c r="J404" s="1112" t="str">
        <f>IF(OR(E404&lt;=0)," ",TRUNC((I404*G404),2))</f>
        <v xml:space="preserve"> </v>
      </c>
      <c r="K404" s="438"/>
      <c r="L404" s="53"/>
      <c r="Q404" t="str">
        <f t="shared" si="108"/>
        <v>ok</v>
      </c>
      <c r="R404" t="str">
        <f t="shared" si="109"/>
        <v>ok</v>
      </c>
      <c r="S404" t="str">
        <f t="shared" si="110"/>
        <v>ok</v>
      </c>
      <c r="T404" t="str">
        <f t="shared" si="111"/>
        <v>ok</v>
      </c>
      <c r="U404" s="99"/>
      <c r="V404" s="1821" t="s">
        <v>42</v>
      </c>
      <c r="W404" s="1822" t="s">
        <v>42</v>
      </c>
      <c r="X404" s="1822" t="s">
        <v>42</v>
      </c>
    </row>
    <row r="405" spans="1:24" ht="33.75" customHeight="1">
      <c r="A405" s="1400" t="s">
        <v>1422</v>
      </c>
      <c r="B405" s="931">
        <v>88415</v>
      </c>
      <c r="C405" s="1311" t="s">
        <v>584</v>
      </c>
      <c r="D405" s="1376" t="s">
        <v>46</v>
      </c>
      <c r="E405" s="1073">
        <v>2.62</v>
      </c>
      <c r="F405" s="1320">
        <f>VLOOKUP(B405,'CADERNO DE COMPOSIÇÃO'!$A$8:$J$15448,10,FALSE)</f>
        <v>2.6199999999999997</v>
      </c>
      <c r="G405" s="1401">
        <f t="shared" si="101"/>
        <v>576.85</v>
      </c>
      <c r="H405" s="1080">
        <v>576.85</v>
      </c>
      <c r="I405" s="1036">
        <f t="shared" ref="I405:I406" si="112">TRUNC(F405*(1+$J$11),2)</f>
        <v>3.2</v>
      </c>
      <c r="J405" s="1037">
        <f t="shared" ref="J405:J406" si="113">TRUNC(I405*G405,2)</f>
        <v>1845.92</v>
      </c>
      <c r="K405" s="346"/>
      <c r="L405" s="346"/>
      <c r="Q405" t="str">
        <f t="shared" si="108"/>
        <v>ok</v>
      </c>
      <c r="R405" t="str">
        <f t="shared" si="109"/>
        <v>ok</v>
      </c>
      <c r="S405" t="str">
        <f t="shared" si="110"/>
        <v>ok</v>
      </c>
      <c r="T405" t="str">
        <f t="shared" si="111"/>
        <v>ok</v>
      </c>
      <c r="U405" s="99">
        <v>2.62</v>
      </c>
      <c r="V405" s="1821">
        <v>576.85</v>
      </c>
      <c r="W405" s="1822">
        <v>3.2</v>
      </c>
      <c r="X405" s="1822">
        <v>1845.92</v>
      </c>
    </row>
    <row r="406" spans="1:24" ht="33" customHeight="1">
      <c r="A406" s="1030" t="s">
        <v>1423</v>
      </c>
      <c r="B406" s="1304">
        <v>88489</v>
      </c>
      <c r="C406" s="1311" t="s">
        <v>117</v>
      </c>
      <c r="D406" s="1376" t="s">
        <v>46</v>
      </c>
      <c r="E406" s="1314">
        <v>14.99</v>
      </c>
      <c r="F406" s="1320">
        <f>VLOOKUP(B406,'CADERNO DE COMPOSIÇÃO'!$A$8:$J$15448,10,FALSE)</f>
        <v>14.95</v>
      </c>
      <c r="G406" s="1113">
        <f t="shared" si="101"/>
        <v>576.85</v>
      </c>
      <c r="H406" s="1080">
        <v>576.85</v>
      </c>
      <c r="I406" s="1036">
        <f t="shared" si="112"/>
        <v>18.27</v>
      </c>
      <c r="J406" s="1037">
        <f t="shared" si="113"/>
        <v>10539.04</v>
      </c>
      <c r="K406" s="346"/>
      <c r="L406" s="346"/>
      <c r="Q406" t="str">
        <f t="shared" si="108"/>
        <v>ok</v>
      </c>
      <c r="R406" t="str">
        <f t="shared" si="109"/>
        <v>ok</v>
      </c>
      <c r="S406" t="str">
        <f t="shared" si="110"/>
        <v>ok</v>
      </c>
      <c r="T406" t="str">
        <f t="shared" si="111"/>
        <v>ok</v>
      </c>
      <c r="U406" s="99">
        <v>14.99</v>
      </c>
      <c r="V406" s="1821">
        <v>576.85</v>
      </c>
      <c r="W406" s="1822">
        <v>18.32</v>
      </c>
      <c r="X406" s="1822">
        <v>10567.89</v>
      </c>
    </row>
    <row r="407" spans="1:24" ht="15.75" thickBot="1">
      <c r="A407" s="1648"/>
      <c r="B407" s="1409"/>
      <c r="C407" s="1409"/>
      <c r="D407" s="1409"/>
      <c r="E407" s="1329"/>
      <c r="F407" s="1320"/>
      <c r="G407" s="1435"/>
      <c r="H407" s="1710"/>
      <c r="I407" s="1699" t="s">
        <v>15</v>
      </c>
      <c r="J407" s="79">
        <f>SUM(J374:J406)</f>
        <v>343480.79</v>
      </c>
      <c r="K407" s="314"/>
      <c r="L407" s="53"/>
      <c r="Q407" t="str">
        <f t="shared" si="108"/>
        <v>ok</v>
      </c>
      <c r="R407" t="str">
        <f t="shared" si="109"/>
        <v>ok</v>
      </c>
      <c r="S407" t="str">
        <f t="shared" si="110"/>
        <v>ok</v>
      </c>
      <c r="T407" t="str">
        <f t="shared" si="111"/>
        <v>ok</v>
      </c>
      <c r="U407" s="99"/>
      <c r="W407" s="1825" t="s">
        <v>15</v>
      </c>
      <c r="X407" s="1822">
        <v>345015.5</v>
      </c>
    </row>
    <row r="408" spans="1:24" ht="13.5" customHeight="1">
      <c r="A408" s="101">
        <v>18</v>
      </c>
      <c r="B408" s="345"/>
      <c r="C408" s="117" t="s">
        <v>970</v>
      </c>
      <c r="D408" s="118"/>
      <c r="E408" s="1076"/>
      <c r="F408" s="1076"/>
      <c r="G408" s="655"/>
      <c r="H408" s="655"/>
      <c r="I408" s="655"/>
      <c r="J408" s="67"/>
      <c r="K408" s="430"/>
      <c r="L408" s="53"/>
      <c r="Q408" t="str">
        <f t="shared" si="108"/>
        <v>ok</v>
      </c>
      <c r="R408" t="str">
        <f t="shared" si="109"/>
        <v>ok</v>
      </c>
      <c r="S408" t="str">
        <f t="shared" si="110"/>
        <v>ok</v>
      </c>
      <c r="T408" t="str">
        <f t="shared" si="111"/>
        <v>ok</v>
      </c>
      <c r="U408" s="99"/>
      <c r="V408" s="1822"/>
      <c r="W408" s="1822"/>
      <c r="X408" s="1822"/>
    </row>
    <row r="409" spans="1:24" ht="19.5" customHeight="1">
      <c r="A409" s="1651" t="s">
        <v>401</v>
      </c>
      <c r="B409" s="1495" t="s">
        <v>1509</v>
      </c>
      <c r="C409" s="1311" t="s">
        <v>1647</v>
      </c>
      <c r="D409" s="1418" t="s">
        <v>55</v>
      </c>
      <c r="E409" s="1314">
        <f>K409</f>
        <v>13080</v>
      </c>
      <c r="F409" s="1320">
        <f>VLOOKUP(B409,'CADERNO DE COMPOSIÇÃO'!$A$8:$J$15448,10,FALSE)</f>
        <v>13013.29</v>
      </c>
      <c r="G409" s="1419">
        <f t="shared" ref="G409:G422" si="114">IF(OR(E409&lt;=0)," ",TRUNC(H409,2))</f>
        <v>1</v>
      </c>
      <c r="H409" s="1381">
        <v>1</v>
      </c>
      <c r="I409" s="1420">
        <f t="shared" ref="I409:I423" si="115">TRUNC(F409*(1+$J$11),2)</f>
        <v>15906.14</v>
      </c>
      <c r="J409" s="1124">
        <f t="shared" ref="J409:J423" si="116">TRUNC(I409*G409,2)</f>
        <v>15906.14</v>
      </c>
      <c r="K409" s="97">
        <f>'COMP CIVIL'!F357</f>
        <v>13080</v>
      </c>
      <c r="L409" s="53"/>
      <c r="Q409" t="str">
        <f t="shared" si="108"/>
        <v>ok</v>
      </c>
      <c r="R409" t="str">
        <f t="shared" si="109"/>
        <v>ok</v>
      </c>
      <c r="S409" t="str">
        <f t="shared" si="110"/>
        <v>ok</v>
      </c>
      <c r="T409" t="str">
        <f t="shared" si="111"/>
        <v>ok</v>
      </c>
      <c r="U409" s="99">
        <v>13080</v>
      </c>
      <c r="V409" s="1821">
        <v>1</v>
      </c>
      <c r="W409" s="1821">
        <v>15987.68</v>
      </c>
      <c r="X409" s="1821">
        <v>15987.68</v>
      </c>
    </row>
    <row r="410" spans="1:24" ht="35.25" customHeight="1">
      <c r="A410" s="1651" t="s">
        <v>1340</v>
      </c>
      <c r="B410" s="1495" t="s">
        <v>1515</v>
      </c>
      <c r="C410" s="1311" t="s">
        <v>2269</v>
      </c>
      <c r="D410" s="1418" t="s">
        <v>55</v>
      </c>
      <c r="E410" s="1314">
        <f>K410</f>
        <v>13469.3</v>
      </c>
      <c r="F410" s="1320">
        <f>VLOOKUP(B410,'CADERNO DE COMPOSIÇÃO'!$A$8:$J$15448,10,FALSE)</f>
        <v>13400.6</v>
      </c>
      <c r="G410" s="1419">
        <f t="shared" si="114"/>
        <v>1</v>
      </c>
      <c r="H410" s="1381">
        <v>1</v>
      </c>
      <c r="I410" s="1420">
        <f t="shared" si="115"/>
        <v>16379.55</v>
      </c>
      <c r="J410" s="1124">
        <f t="shared" si="116"/>
        <v>16379.55</v>
      </c>
      <c r="K410" s="97">
        <f>'COMP CIVIL'!F374</f>
        <v>13469.3</v>
      </c>
      <c r="L410" s="53"/>
      <c r="Q410" t="str">
        <f t="shared" si="108"/>
        <v>ok</v>
      </c>
      <c r="R410" t="str">
        <f t="shared" si="109"/>
        <v>ok</v>
      </c>
      <c r="S410" t="str">
        <f t="shared" si="110"/>
        <v>ok</v>
      </c>
      <c r="T410" t="str">
        <f t="shared" si="111"/>
        <v>ok</v>
      </c>
      <c r="U410" s="99">
        <v>13469.3</v>
      </c>
      <c r="V410" s="1821">
        <v>1</v>
      </c>
      <c r="W410" s="1821">
        <v>16463.52</v>
      </c>
      <c r="X410" s="1821">
        <v>16463.52</v>
      </c>
    </row>
    <row r="411" spans="1:24" ht="32.25" customHeight="1">
      <c r="A411" s="1651" t="s">
        <v>1341</v>
      </c>
      <c r="B411" s="1495" t="s">
        <v>1516</v>
      </c>
      <c r="C411" s="1311" t="s">
        <v>2270</v>
      </c>
      <c r="D411" s="1418" t="s">
        <v>55</v>
      </c>
      <c r="E411" s="1314">
        <f>K411</f>
        <v>5500</v>
      </c>
      <c r="F411" s="1320">
        <f>VLOOKUP(B411,'CADERNO DE COMPOSIÇÃO'!$A$8:$J$15448,10,FALSE)</f>
        <v>5471.95</v>
      </c>
      <c r="G411" s="1419">
        <f t="shared" si="114"/>
        <v>1</v>
      </c>
      <c r="H411" s="1381">
        <v>1</v>
      </c>
      <c r="I411" s="1420">
        <f t="shared" si="115"/>
        <v>6688.36</v>
      </c>
      <c r="J411" s="1124">
        <f t="shared" si="116"/>
        <v>6688.36</v>
      </c>
      <c r="K411" s="97">
        <f>'COMP CIVIL'!F390</f>
        <v>5500</v>
      </c>
      <c r="L411" s="53"/>
      <c r="Q411" t="str">
        <f t="shared" si="108"/>
        <v>ok</v>
      </c>
      <c r="R411" t="str">
        <f t="shared" si="109"/>
        <v>ok</v>
      </c>
      <c r="S411" t="str">
        <f t="shared" si="110"/>
        <v>ok</v>
      </c>
      <c r="T411" t="str">
        <f t="shared" si="111"/>
        <v>ok</v>
      </c>
      <c r="U411" s="99">
        <v>5500</v>
      </c>
      <c r="V411" s="1821">
        <v>1</v>
      </c>
      <c r="W411" s="1821">
        <v>6722.65</v>
      </c>
      <c r="X411" s="1821">
        <v>6722.65</v>
      </c>
    </row>
    <row r="412" spans="1:24" ht="47.25" customHeight="1">
      <c r="A412" s="1651" t="s">
        <v>1342</v>
      </c>
      <c r="B412" s="1304">
        <v>92398</v>
      </c>
      <c r="C412" s="1311" t="s">
        <v>1661</v>
      </c>
      <c r="D412" s="1421" t="s">
        <v>46</v>
      </c>
      <c r="E412" s="1314">
        <v>100.8</v>
      </c>
      <c r="F412" s="1320">
        <f>VLOOKUP(B412,'CADERNO DE COMPOSIÇÃO'!$A$8:$J$15448,10,FALSE)</f>
        <v>100.33999999999999</v>
      </c>
      <c r="G412" s="1419">
        <f t="shared" si="114"/>
        <v>334.18</v>
      </c>
      <c r="H412" s="1381">
        <v>334.18</v>
      </c>
      <c r="I412" s="1374">
        <f t="shared" si="115"/>
        <v>122.64</v>
      </c>
      <c r="J412" s="77">
        <f t="shared" si="116"/>
        <v>40983.83</v>
      </c>
      <c r="K412" s="507"/>
      <c r="L412" s="53"/>
      <c r="Q412" t="str">
        <f t="shared" si="108"/>
        <v>ok</v>
      </c>
      <c r="R412" t="str">
        <f t="shared" si="109"/>
        <v>ok</v>
      </c>
      <c r="S412" t="str">
        <f t="shared" si="110"/>
        <v>ok</v>
      </c>
      <c r="T412" t="str">
        <f t="shared" si="111"/>
        <v>ok</v>
      </c>
      <c r="U412" s="99">
        <v>100.8</v>
      </c>
      <c r="V412" s="1821">
        <v>334.18</v>
      </c>
      <c r="W412" s="1822">
        <v>123.2</v>
      </c>
      <c r="X412" s="1822">
        <v>41170.97</v>
      </c>
    </row>
    <row r="413" spans="1:24" ht="48" customHeight="1">
      <c r="A413" s="1651" t="s">
        <v>1343</v>
      </c>
      <c r="B413" s="1304">
        <v>94994</v>
      </c>
      <c r="C413" s="1311" t="s">
        <v>1660</v>
      </c>
      <c r="D413" s="1421" t="s">
        <v>46</v>
      </c>
      <c r="E413" s="1314">
        <v>114.89</v>
      </c>
      <c r="F413" s="1320">
        <f>VLOOKUP(B413,'CADERNO DE COMPOSIÇÃO'!$A$8:$J$15448,10,FALSE)</f>
        <v>114.35999999999999</v>
      </c>
      <c r="G413" s="1419">
        <f t="shared" si="114"/>
        <v>156.76</v>
      </c>
      <c r="H413" s="1381">
        <v>156.76</v>
      </c>
      <c r="I413" s="1374">
        <f t="shared" si="115"/>
        <v>139.78</v>
      </c>
      <c r="J413" s="77">
        <f t="shared" si="116"/>
        <v>21911.91</v>
      </c>
      <c r="K413" s="507"/>
      <c r="L413" s="204" t="s">
        <v>2040</v>
      </c>
      <c r="Q413" t="str">
        <f t="shared" si="108"/>
        <v>ok</v>
      </c>
      <c r="R413" t="str">
        <f t="shared" si="109"/>
        <v>ok</v>
      </c>
      <c r="S413" t="str">
        <f t="shared" si="110"/>
        <v>ok</v>
      </c>
      <c r="T413" t="str">
        <f t="shared" si="111"/>
        <v>ok</v>
      </c>
      <c r="U413" s="99">
        <v>114.89</v>
      </c>
      <c r="V413" s="1821">
        <v>156.76</v>
      </c>
      <c r="W413" s="1822">
        <v>140.43</v>
      </c>
      <c r="X413" s="1822">
        <v>22013.8</v>
      </c>
    </row>
    <row r="414" spans="1:24" ht="30.75" customHeight="1">
      <c r="A414" s="1651" t="s">
        <v>1344</v>
      </c>
      <c r="B414" s="1304">
        <v>94266</v>
      </c>
      <c r="C414" s="1311" t="s">
        <v>1482</v>
      </c>
      <c r="D414" s="1421" t="s">
        <v>54</v>
      </c>
      <c r="E414" s="1314">
        <v>53.42</v>
      </c>
      <c r="F414" s="1320">
        <f>VLOOKUP(B414,'CADERNO DE COMPOSIÇÃO'!$A$8:$J$15448,10,FALSE)</f>
        <v>53.240000000000009</v>
      </c>
      <c r="G414" s="1419">
        <f t="shared" si="114"/>
        <v>4.17</v>
      </c>
      <c r="H414" s="1381">
        <v>4.17</v>
      </c>
      <c r="I414" s="1374">
        <f t="shared" si="115"/>
        <v>65.069999999999993</v>
      </c>
      <c r="J414" s="77">
        <f t="shared" si="116"/>
        <v>271.33999999999997</v>
      </c>
      <c r="K414" s="507"/>
      <c r="L414" s="204"/>
      <c r="Q414" t="str">
        <f t="shared" si="108"/>
        <v>ok</v>
      </c>
      <c r="R414" t="str">
        <f t="shared" si="109"/>
        <v>ok</v>
      </c>
      <c r="S414" t="str">
        <f t="shared" si="110"/>
        <v>ok</v>
      </c>
      <c r="T414" t="str">
        <f t="shared" si="111"/>
        <v>ok</v>
      </c>
      <c r="U414" s="99">
        <v>53.42</v>
      </c>
      <c r="V414" s="1821">
        <v>4.17</v>
      </c>
      <c r="W414" s="1822">
        <v>65.290000000000006</v>
      </c>
      <c r="X414" s="1822">
        <v>272.25</v>
      </c>
    </row>
    <row r="415" spans="1:24" ht="31.5" customHeight="1">
      <c r="A415" s="1651" t="s">
        <v>1450</v>
      </c>
      <c r="B415" s="1304">
        <v>94265</v>
      </c>
      <c r="C415" s="1311" t="s">
        <v>1483</v>
      </c>
      <c r="D415" s="1421" t="s">
        <v>54</v>
      </c>
      <c r="E415" s="1314">
        <v>49.55</v>
      </c>
      <c r="F415" s="1320">
        <f>VLOOKUP(B415,'CADERNO DE COMPOSIÇÃO'!$A$8:$J$15448,10,FALSE)</f>
        <v>49.379999999999995</v>
      </c>
      <c r="G415" s="1419">
        <f t="shared" si="114"/>
        <v>69.260000000000005</v>
      </c>
      <c r="H415" s="1381">
        <v>69.260000000000005</v>
      </c>
      <c r="I415" s="1374">
        <f t="shared" si="115"/>
        <v>60.35</v>
      </c>
      <c r="J415" s="77">
        <f t="shared" si="116"/>
        <v>4179.84</v>
      </c>
      <c r="K415" s="507"/>
      <c r="L415" s="53"/>
      <c r="Q415" t="str">
        <f t="shared" si="108"/>
        <v>ok</v>
      </c>
      <c r="R415" t="str">
        <f t="shared" si="109"/>
        <v>ok</v>
      </c>
      <c r="S415" t="str">
        <f t="shared" si="110"/>
        <v>ok</v>
      </c>
      <c r="T415" t="str">
        <f t="shared" si="111"/>
        <v>ok</v>
      </c>
      <c r="U415" s="99">
        <v>49.55</v>
      </c>
      <c r="V415" s="1821">
        <v>69.260000000000005</v>
      </c>
      <c r="W415" s="1822">
        <v>60.56</v>
      </c>
      <c r="X415" s="1822">
        <v>4194.38</v>
      </c>
    </row>
    <row r="416" spans="1:24" ht="19.5" customHeight="1">
      <c r="A416" s="1651" t="s">
        <v>1451</v>
      </c>
      <c r="B416" s="1495" t="s">
        <v>1517</v>
      </c>
      <c r="C416" s="1711" t="s">
        <v>1656</v>
      </c>
      <c r="D416" s="1114" t="s">
        <v>47</v>
      </c>
      <c r="E416" s="1074">
        <f>K416</f>
        <v>192.19</v>
      </c>
      <c r="F416" s="1320">
        <f>VLOOKUP(B416,'CADERNO DE COMPOSIÇÃO'!$A$8:$J$15448,10,FALSE)</f>
        <v>191.45000000000002</v>
      </c>
      <c r="G416" s="1419">
        <f t="shared" si="114"/>
        <v>10.46</v>
      </c>
      <c r="H416" s="1381">
        <v>10.46</v>
      </c>
      <c r="I416" s="1420">
        <f t="shared" si="115"/>
        <v>234</v>
      </c>
      <c r="J416" s="1124">
        <f t="shared" si="116"/>
        <v>2447.64</v>
      </c>
      <c r="K416" s="97">
        <f>'COMP CIVIL'!F406</f>
        <v>192.19</v>
      </c>
      <c r="L416" s="53" t="s">
        <v>1657</v>
      </c>
      <c r="Q416" t="str">
        <f t="shared" si="108"/>
        <v>ok</v>
      </c>
      <c r="R416" t="str">
        <f t="shared" si="109"/>
        <v>ok</v>
      </c>
      <c r="S416" t="str">
        <f t="shared" si="110"/>
        <v>ok</v>
      </c>
      <c r="T416" t="str">
        <f t="shared" si="111"/>
        <v>ok</v>
      </c>
      <c r="U416" s="99">
        <v>192.19</v>
      </c>
      <c r="V416" s="1821">
        <v>10.46</v>
      </c>
      <c r="W416" s="1821">
        <v>234.91</v>
      </c>
      <c r="X416" s="1821">
        <v>2457.15</v>
      </c>
    </row>
    <row r="417" spans="1:24" ht="19.5" customHeight="1">
      <c r="A417" s="1651" t="s">
        <v>1452</v>
      </c>
      <c r="B417" s="1304">
        <v>98504</v>
      </c>
      <c r="C417" s="1711" t="s">
        <v>610</v>
      </c>
      <c r="D417" s="1114" t="s">
        <v>46</v>
      </c>
      <c r="E417" s="1074">
        <v>14.57</v>
      </c>
      <c r="F417" s="1320">
        <f>VLOOKUP(B417,'CADERNO DE COMPOSIÇÃO'!$A$8:$J$15448,10,FALSE)</f>
        <v>11.879999999999999</v>
      </c>
      <c r="G417" s="1419">
        <f t="shared" si="114"/>
        <v>202.75</v>
      </c>
      <c r="H417" s="1381">
        <v>202.75</v>
      </c>
      <c r="I417" s="1420">
        <f t="shared" si="115"/>
        <v>14.52</v>
      </c>
      <c r="J417" s="1124">
        <f t="shared" si="116"/>
        <v>2943.93</v>
      </c>
      <c r="K417" s="507"/>
      <c r="L417" s="53" t="s">
        <v>1911</v>
      </c>
      <c r="Q417" t="str">
        <f t="shared" si="108"/>
        <v>ok</v>
      </c>
      <c r="R417" t="str">
        <f t="shared" si="109"/>
        <v>ok</v>
      </c>
      <c r="S417" t="str">
        <f t="shared" si="110"/>
        <v>ok</v>
      </c>
      <c r="T417" t="str">
        <f t="shared" si="111"/>
        <v>ok</v>
      </c>
      <c r="U417" s="99">
        <v>14.57</v>
      </c>
      <c r="V417" s="1821">
        <v>202.75</v>
      </c>
      <c r="W417" s="1821">
        <v>14.57</v>
      </c>
      <c r="X417" s="1821">
        <v>2954.06</v>
      </c>
    </row>
    <row r="418" spans="1:24" ht="30" customHeight="1">
      <c r="A418" s="1651" t="s">
        <v>1453</v>
      </c>
      <c r="B418" s="1304">
        <v>98510</v>
      </c>
      <c r="C418" s="1311" t="s">
        <v>1650</v>
      </c>
      <c r="D418" s="1114" t="s">
        <v>55</v>
      </c>
      <c r="E418" s="1074">
        <v>103.03</v>
      </c>
      <c r="F418" s="1320">
        <f>VLOOKUP(B418,'CADERNO DE COMPOSIÇÃO'!$A$8:$J$15448,10,FALSE)</f>
        <v>83.960000000000008</v>
      </c>
      <c r="G418" s="1419">
        <f t="shared" si="114"/>
        <v>19</v>
      </c>
      <c r="H418" s="512">
        <v>19</v>
      </c>
      <c r="I418" s="1420">
        <f t="shared" si="115"/>
        <v>102.62</v>
      </c>
      <c r="J418" s="1124">
        <f t="shared" si="116"/>
        <v>1949.78</v>
      </c>
      <c r="K418" s="507"/>
      <c r="L418" s="390" t="s">
        <v>1651</v>
      </c>
      <c r="Q418" t="str">
        <f t="shared" si="108"/>
        <v>ok</v>
      </c>
      <c r="R418" t="str">
        <f t="shared" si="109"/>
        <v>ok</v>
      </c>
      <c r="S418" t="str">
        <f t="shared" si="110"/>
        <v>ok</v>
      </c>
      <c r="T418" t="str">
        <f t="shared" si="111"/>
        <v>ok</v>
      </c>
      <c r="U418" s="99">
        <v>103.03</v>
      </c>
      <c r="V418" s="1821">
        <v>19</v>
      </c>
      <c r="W418" s="1821">
        <v>103.03</v>
      </c>
      <c r="X418" s="1821">
        <v>1957.57</v>
      </c>
    </row>
    <row r="419" spans="1:24" ht="19.5" customHeight="1">
      <c r="A419" s="1651" t="s">
        <v>2132</v>
      </c>
      <c r="B419" s="1304">
        <v>98505</v>
      </c>
      <c r="C419" s="1711" t="s">
        <v>1653</v>
      </c>
      <c r="D419" s="1114" t="s">
        <v>46</v>
      </c>
      <c r="E419" s="1074">
        <v>105.21</v>
      </c>
      <c r="F419" s="1320">
        <f>VLOOKUP(B419,'CADERNO DE COMPOSIÇÃO'!$A$8:$J$15448,10,FALSE)</f>
        <v>85.46</v>
      </c>
      <c r="G419" s="1419">
        <f t="shared" si="114"/>
        <v>15.52</v>
      </c>
      <c r="H419" s="1381">
        <v>15.52</v>
      </c>
      <c r="I419" s="1420">
        <f t="shared" si="115"/>
        <v>104.45</v>
      </c>
      <c r="J419" s="1124">
        <f t="shared" si="116"/>
        <v>1621.06</v>
      </c>
      <c r="K419" s="507"/>
      <c r="L419" s="53" t="s">
        <v>1652</v>
      </c>
      <c r="Q419" t="str">
        <f t="shared" si="108"/>
        <v>ok</v>
      </c>
      <c r="R419" t="str">
        <f t="shared" si="109"/>
        <v>ok</v>
      </c>
      <c r="S419" t="str">
        <f t="shared" si="110"/>
        <v>ok</v>
      </c>
      <c r="T419" t="str">
        <f t="shared" si="111"/>
        <v>ok</v>
      </c>
      <c r="U419" s="99">
        <v>105.21</v>
      </c>
      <c r="V419" s="1821">
        <v>15.52</v>
      </c>
      <c r="W419" s="1821">
        <v>105.21</v>
      </c>
      <c r="X419" s="1821">
        <v>1632.85</v>
      </c>
    </row>
    <row r="420" spans="1:24" ht="30.75" customHeight="1">
      <c r="A420" s="1651" t="s">
        <v>1454</v>
      </c>
      <c r="B420" s="1304">
        <v>101094</v>
      </c>
      <c r="C420" s="1712" t="s">
        <v>1488</v>
      </c>
      <c r="D420" s="1418" t="s">
        <v>54</v>
      </c>
      <c r="E420" s="1074">
        <v>220.97</v>
      </c>
      <c r="F420" s="1320">
        <f>VLOOKUP(B420,'CADERNO DE COMPOSIÇÃO'!$A$8:$J$15448,10,FALSE)</f>
        <v>179.92000000000002</v>
      </c>
      <c r="G420" s="1419">
        <f t="shared" si="114"/>
        <v>77.75</v>
      </c>
      <c r="H420" s="512">
        <v>77.75</v>
      </c>
      <c r="I420" s="1420">
        <f t="shared" si="115"/>
        <v>219.91</v>
      </c>
      <c r="J420" s="1124">
        <f t="shared" si="116"/>
        <v>17098</v>
      </c>
      <c r="K420" s="507"/>
      <c r="L420" s="267" t="s">
        <v>1489</v>
      </c>
      <c r="Q420" t="str">
        <f t="shared" si="108"/>
        <v>ok</v>
      </c>
      <c r="R420" t="str">
        <f t="shared" si="109"/>
        <v>ok</v>
      </c>
      <c r="S420" t="str">
        <f t="shared" si="110"/>
        <v>ok</v>
      </c>
      <c r="T420" t="str">
        <f t="shared" si="111"/>
        <v>ok</v>
      </c>
      <c r="U420" s="99">
        <v>220.97</v>
      </c>
      <c r="V420" s="1821">
        <v>77.75</v>
      </c>
      <c r="W420" s="1821">
        <v>220.97</v>
      </c>
      <c r="X420" s="1821">
        <v>17180.41</v>
      </c>
    </row>
    <row r="421" spans="1:24" ht="32.25" customHeight="1">
      <c r="A421" s="1651" t="s">
        <v>1455</v>
      </c>
      <c r="B421" s="1304">
        <v>102513</v>
      </c>
      <c r="C421" s="1311" t="s">
        <v>1663</v>
      </c>
      <c r="D421" s="457" t="s">
        <v>46</v>
      </c>
      <c r="E421" s="1314">
        <v>42.49</v>
      </c>
      <c r="F421" s="1320">
        <f>VLOOKUP(B421,'CADERNO DE COMPOSIÇÃO'!$A$8:$J$15448,10,FALSE)</f>
        <v>34.690000000000005</v>
      </c>
      <c r="G421" s="1419">
        <f t="shared" si="114"/>
        <v>5.78</v>
      </c>
      <c r="H421" s="1381">
        <v>5.78</v>
      </c>
      <c r="I421" s="1420">
        <f t="shared" si="115"/>
        <v>42.4</v>
      </c>
      <c r="J421" s="1124">
        <f t="shared" si="116"/>
        <v>245.07</v>
      </c>
      <c r="K421" s="507"/>
      <c r="L421" s="53"/>
      <c r="Q421" t="str">
        <f t="shared" si="108"/>
        <v>ok</v>
      </c>
      <c r="R421" t="str">
        <f t="shared" si="109"/>
        <v>ok</v>
      </c>
      <c r="S421" t="str">
        <f t="shared" si="110"/>
        <v>ok</v>
      </c>
      <c r="T421" t="str">
        <f t="shared" si="111"/>
        <v>ok</v>
      </c>
      <c r="U421" s="99">
        <v>42.49</v>
      </c>
      <c r="V421" s="1821">
        <v>5.78</v>
      </c>
      <c r="W421" s="1821">
        <v>42.49</v>
      </c>
      <c r="X421" s="1821">
        <v>245.59</v>
      </c>
    </row>
    <row r="422" spans="1:24" ht="31.5" customHeight="1">
      <c r="A422" s="1651" t="s">
        <v>1456</v>
      </c>
      <c r="B422" s="1318">
        <v>102500</v>
      </c>
      <c r="C422" s="1311" t="s">
        <v>1662</v>
      </c>
      <c r="D422" s="1418" t="s">
        <v>54</v>
      </c>
      <c r="E422" s="1314">
        <v>3.98</v>
      </c>
      <c r="F422" s="1320">
        <f>VLOOKUP(B422,'CADERNO DE COMPOSIÇÃO'!$A$8:$J$15448,10,FALSE)</f>
        <v>3.2399999999999998</v>
      </c>
      <c r="G422" s="1419">
        <f t="shared" si="114"/>
        <v>117.04</v>
      </c>
      <c r="H422" s="1381">
        <v>117.04</v>
      </c>
      <c r="I422" s="1420">
        <f t="shared" si="115"/>
        <v>3.96</v>
      </c>
      <c r="J422" s="1124">
        <f t="shared" si="116"/>
        <v>463.47</v>
      </c>
      <c r="K422" s="507"/>
      <c r="L422" s="53"/>
      <c r="Q422" t="str">
        <f t="shared" si="108"/>
        <v>ok</v>
      </c>
      <c r="R422" t="str">
        <f t="shared" si="109"/>
        <v>ok</v>
      </c>
      <c r="S422" t="str">
        <f t="shared" si="110"/>
        <v>ok</v>
      </c>
      <c r="T422" t="str">
        <f t="shared" si="111"/>
        <v>ok</v>
      </c>
      <c r="U422" s="99">
        <v>3.98</v>
      </c>
      <c r="V422" s="1821">
        <v>117.04</v>
      </c>
      <c r="W422" s="1821">
        <v>3.98</v>
      </c>
      <c r="X422" s="1821">
        <v>465.81</v>
      </c>
    </row>
    <row r="423" spans="1:24" ht="18" customHeight="1">
      <c r="A423" s="1651" t="s">
        <v>2452</v>
      </c>
      <c r="B423" s="1304" t="s">
        <v>2453</v>
      </c>
      <c r="C423" s="1311" t="s">
        <v>2454</v>
      </c>
      <c r="D423" s="1418" t="s">
        <v>55</v>
      </c>
      <c r="E423" s="1314">
        <f>K423</f>
        <v>1212.95</v>
      </c>
      <c r="F423" s="1320">
        <f>VLOOKUP(B423,'CADERNO DE COMPOSIÇÃO'!$A$8:$J$15448,10,FALSE)</f>
        <v>987.27</v>
      </c>
      <c r="G423" s="1419">
        <v>1</v>
      </c>
      <c r="H423" s="1769"/>
      <c r="I423" s="1420">
        <f t="shared" si="115"/>
        <v>1206.74</v>
      </c>
      <c r="J423" s="1124">
        <f t="shared" si="116"/>
        <v>1206.74</v>
      </c>
      <c r="K423" s="97">
        <f>'COMP CIVIL'!F501</f>
        <v>1212.95</v>
      </c>
      <c r="L423" s="53"/>
      <c r="Q423" t="str">
        <f t="shared" si="108"/>
        <v>ok</v>
      </c>
      <c r="R423" t="str">
        <f t="shared" si="109"/>
        <v>ok</v>
      </c>
      <c r="S423" t="str">
        <f t="shared" si="110"/>
        <v>ok</v>
      </c>
      <c r="T423" t="str">
        <f t="shared" si="111"/>
        <v>ok</v>
      </c>
      <c r="U423" s="99">
        <v>1212.95</v>
      </c>
      <c r="V423" s="1821">
        <v>1</v>
      </c>
      <c r="W423" s="1821">
        <v>1212.95</v>
      </c>
      <c r="X423" s="1821">
        <v>1212.95</v>
      </c>
    </row>
    <row r="424" spans="1:24" ht="15.75" thickBot="1">
      <c r="A424" s="431"/>
      <c r="B424" s="1115"/>
      <c r="C424" s="1116"/>
      <c r="D424" s="1102"/>
      <c r="E424" s="1096"/>
      <c r="F424" s="1320"/>
      <c r="G424" s="1097"/>
      <c r="H424" s="1117"/>
      <c r="I424" s="1699" t="s">
        <v>15</v>
      </c>
      <c r="J424" s="79">
        <f>TRUNC(SUM(J409:J423),2)</f>
        <v>134296.66</v>
      </c>
      <c r="K424" s="475"/>
      <c r="L424" s="53"/>
      <c r="Q424" t="str">
        <f t="shared" si="108"/>
        <v>ok</v>
      </c>
      <c r="R424" t="str">
        <f t="shared" si="109"/>
        <v>ok</v>
      </c>
      <c r="S424" t="str">
        <f t="shared" si="110"/>
        <v>ok</v>
      </c>
      <c r="T424" t="str">
        <f t="shared" si="111"/>
        <v>ok</v>
      </c>
      <c r="U424" s="99"/>
      <c r="W424" s="1825" t="s">
        <v>15</v>
      </c>
      <c r="X424" s="1822">
        <v>134931.64000000001</v>
      </c>
    </row>
    <row r="425" spans="1:24" ht="12.75" customHeight="1">
      <c r="A425" s="432">
        <v>19</v>
      </c>
      <c r="B425" s="205"/>
      <c r="C425" s="433" t="s">
        <v>24</v>
      </c>
      <c r="D425" s="434"/>
      <c r="E425" s="1075"/>
      <c r="F425" s="1075"/>
      <c r="G425" s="656" t="str">
        <f>IF(OR(E425&lt;=0)," ",TRUNC(H425,2))</f>
        <v xml:space="preserve"> </v>
      </c>
      <c r="H425" s="656"/>
      <c r="I425" s="656" t="str">
        <f>IF(OR(E425&lt;=0)," ",TRUNC((E425*(1+$J$11)),2))</f>
        <v xml:space="preserve"> </v>
      </c>
      <c r="J425" s="435" t="str">
        <f>IF(OR(E425&lt;=0)," ",TRUNC((I425*G425),2))</f>
        <v xml:space="preserve"> </v>
      </c>
      <c r="K425" s="310"/>
      <c r="L425" s="53"/>
      <c r="Q425" t="str">
        <f t="shared" si="108"/>
        <v>ok</v>
      </c>
      <c r="R425" t="str">
        <f t="shared" si="109"/>
        <v>ok</v>
      </c>
      <c r="S425" t="str">
        <f t="shared" si="110"/>
        <v>ok</v>
      </c>
      <c r="T425" t="str">
        <f t="shared" si="111"/>
        <v>ok</v>
      </c>
      <c r="U425" s="99"/>
      <c r="V425" s="1822" t="s">
        <v>42</v>
      </c>
      <c r="W425" s="1822" t="s">
        <v>42</v>
      </c>
      <c r="X425" s="1822" t="s">
        <v>42</v>
      </c>
    </row>
    <row r="426" spans="1:24" ht="33" customHeight="1">
      <c r="A426" s="1651" t="s">
        <v>613</v>
      </c>
      <c r="B426" s="1118">
        <v>99803</v>
      </c>
      <c r="C426" s="1322" t="s">
        <v>2038</v>
      </c>
      <c r="D426" s="1114" t="s">
        <v>46</v>
      </c>
      <c r="E426" s="1073">
        <v>1.88</v>
      </c>
      <c r="F426" s="1320">
        <f>VLOOKUP(B426,'CADERNO DE COMPOSIÇÃO'!$A$8:$J$15448,10,FALSE)</f>
        <v>1.88</v>
      </c>
      <c r="G426" s="1079">
        <f>IF(OR(E426&lt;=0)," ",TRUNC(H426,2))</f>
        <v>246.05</v>
      </c>
      <c r="H426" s="1080">
        <v>246.05</v>
      </c>
      <c r="I426" s="1034">
        <f t="shared" ref="I426:I428" si="117">TRUNC(F426*(1+$J$11),2)</f>
        <v>2.29</v>
      </c>
      <c r="J426" s="1037">
        <f t="shared" ref="J426:J428" si="118">TRUNC(I426*G426,2)</f>
        <v>563.45000000000005</v>
      </c>
      <c r="K426" s="310"/>
      <c r="L426" s="348"/>
      <c r="Q426" t="str">
        <f t="shared" si="108"/>
        <v>ok</v>
      </c>
      <c r="R426" t="str">
        <f t="shared" si="109"/>
        <v>ok</v>
      </c>
      <c r="S426" t="str">
        <f t="shared" si="110"/>
        <v>ok</v>
      </c>
      <c r="T426" t="str">
        <f t="shared" si="111"/>
        <v>ok</v>
      </c>
      <c r="U426" s="99">
        <v>1.88</v>
      </c>
      <c r="V426" s="1822">
        <v>246.05</v>
      </c>
      <c r="W426" s="1822">
        <v>2.29</v>
      </c>
      <c r="X426" s="1822">
        <v>563.45000000000005</v>
      </c>
    </row>
    <row r="427" spans="1:24" ht="31.5" customHeight="1">
      <c r="A427" s="1651" t="s">
        <v>616</v>
      </c>
      <c r="B427" s="1118">
        <v>99806</v>
      </c>
      <c r="C427" s="1311" t="s">
        <v>2039</v>
      </c>
      <c r="D427" s="1114" t="s">
        <v>46</v>
      </c>
      <c r="E427" s="1073">
        <v>0.77</v>
      </c>
      <c r="F427" s="1320">
        <f>VLOOKUP(B427,'CADERNO DE COMPOSIÇÃO'!$A$8:$J$15448,10,FALSE)</f>
        <v>0.77</v>
      </c>
      <c r="G427" s="1079">
        <f>IF(OR(E427&lt;=0)," ",TRUNC(H427,2))</f>
        <v>98.67</v>
      </c>
      <c r="H427" s="1080">
        <v>98.67</v>
      </c>
      <c r="I427" s="1034">
        <f t="shared" si="117"/>
        <v>0.94</v>
      </c>
      <c r="J427" s="1037">
        <f t="shared" si="118"/>
        <v>92.74</v>
      </c>
      <c r="K427" s="225"/>
      <c r="L427" s="348"/>
      <c r="Q427" t="str">
        <f t="shared" si="108"/>
        <v>ok</v>
      </c>
      <c r="R427" t="str">
        <f t="shared" si="109"/>
        <v>ok</v>
      </c>
      <c r="S427" t="str">
        <f t="shared" si="110"/>
        <v>ok</v>
      </c>
      <c r="T427" t="str">
        <f t="shared" si="111"/>
        <v>ok</v>
      </c>
      <c r="U427" s="99">
        <v>0.77</v>
      </c>
      <c r="V427" s="1822">
        <v>98.67</v>
      </c>
      <c r="W427" s="1822">
        <v>0.94</v>
      </c>
      <c r="X427" s="1822">
        <v>92.74</v>
      </c>
    </row>
    <row r="428" spans="1:24" ht="20.25" customHeight="1">
      <c r="A428" s="1651" t="s">
        <v>1723</v>
      </c>
      <c r="B428" s="1118">
        <v>99814</v>
      </c>
      <c r="C428" s="1311" t="s">
        <v>626</v>
      </c>
      <c r="D428" s="1114" t="s">
        <v>46</v>
      </c>
      <c r="E428" s="1073">
        <v>1.8</v>
      </c>
      <c r="F428" s="1320">
        <f>VLOOKUP(B428,'CADERNO DE COMPOSIÇÃO'!$A$8:$J$15448,10,FALSE)</f>
        <v>1.8</v>
      </c>
      <c r="G428" s="1079">
        <f>IF(OR(E428&lt;=0)," ",TRUNC(H428,2))</f>
        <v>288.94</v>
      </c>
      <c r="H428" s="1080">
        <v>288.94</v>
      </c>
      <c r="I428" s="1034">
        <f t="shared" si="117"/>
        <v>2.2000000000000002</v>
      </c>
      <c r="J428" s="1037">
        <f t="shared" si="118"/>
        <v>635.66</v>
      </c>
      <c r="K428" s="438"/>
      <c r="L428" s="639" t="s">
        <v>2040</v>
      </c>
      <c r="Q428" t="str">
        <f t="shared" si="108"/>
        <v>ok</v>
      </c>
      <c r="R428" t="str">
        <f t="shared" si="109"/>
        <v>ok</v>
      </c>
      <c r="S428" t="str">
        <f t="shared" si="110"/>
        <v>ok</v>
      </c>
      <c r="T428" t="str">
        <f t="shared" si="111"/>
        <v>ok</v>
      </c>
      <c r="U428" s="99">
        <v>1.8</v>
      </c>
      <c r="V428" s="1822">
        <v>288.94</v>
      </c>
      <c r="W428" s="1822">
        <v>2.2000000000000002</v>
      </c>
      <c r="X428" s="1822">
        <v>635.66</v>
      </c>
    </row>
    <row r="429" spans="1:24" ht="15.75" thickBot="1">
      <c r="A429" s="1648"/>
      <c r="B429" s="1409"/>
      <c r="C429" s="1409"/>
      <c r="D429" s="1409"/>
      <c r="E429" s="1713"/>
      <c r="F429" s="1713"/>
      <c r="G429" s="1435"/>
      <c r="H429" s="1710"/>
      <c r="I429" s="1699" t="s">
        <v>15</v>
      </c>
      <c r="J429" s="79">
        <f>TRUNC(SUM(J426:J428),2)</f>
        <v>1291.8499999999999</v>
      </c>
      <c r="K429" s="310"/>
      <c r="L429" t="s">
        <v>42</v>
      </c>
      <c r="U429" s="99"/>
      <c r="W429" s="1825" t="s">
        <v>15</v>
      </c>
      <c r="X429" s="1822">
        <v>1291.8499999999999</v>
      </c>
    </row>
    <row r="430" spans="1:24" ht="15.75">
      <c r="A430" s="128"/>
      <c r="B430" s="1910" t="s">
        <v>25</v>
      </c>
      <c r="C430" s="1911"/>
      <c r="D430" s="1911"/>
      <c r="E430" s="1911"/>
      <c r="F430" s="1911"/>
      <c r="G430" s="1911"/>
      <c r="H430" s="1911"/>
      <c r="I430" s="1911"/>
      <c r="J430" s="363">
        <f>TRUNC((J18+J34+J39+J94+J104+J113+J125+J142+J156+J163+J166+J219+J249+J258+J290+J307+J336+J349+J363+J371+J407+J424+J429),2)</f>
        <v>1737226.32</v>
      </c>
      <c r="K430" s="349"/>
      <c r="L430" s="1645">
        <f>SUM(J17:J429)/2</f>
        <v>1737226.3199999996</v>
      </c>
      <c r="M430" s="1646">
        <f>L430-J430</f>
        <v>0</v>
      </c>
      <c r="X430" s="1822">
        <v>1746072.62</v>
      </c>
    </row>
    <row r="431" spans="1:24" ht="15.75">
      <c r="A431" s="1714"/>
      <c r="B431" s="1912" t="s">
        <v>26</v>
      </c>
      <c r="C431" s="1913"/>
      <c r="D431" s="1913"/>
      <c r="E431" s="1914">
        <f>J430</f>
        <v>1737226.32</v>
      </c>
      <c r="F431" s="1914"/>
      <c r="G431" s="1915"/>
      <c r="H431" s="1915"/>
      <c r="I431" s="1915"/>
      <c r="J431" s="129"/>
      <c r="K431" s="310"/>
      <c r="L431" s="99"/>
      <c r="U431" s="1822">
        <v>1746072.62</v>
      </c>
    </row>
    <row r="432" spans="1:24">
      <c r="A432" s="55"/>
      <c r="B432" s="16"/>
      <c r="C432" s="16"/>
      <c r="D432" s="16"/>
      <c r="E432" s="16"/>
      <c r="F432" s="16"/>
      <c r="G432" s="16"/>
      <c r="H432" s="16"/>
      <c r="I432" s="16"/>
      <c r="J432" s="1855" t="str">
        <f>'RESUMO SEM DESONERAÇÃO'!$E$41</f>
        <v>CUIABÁ-MT, 15 DE MAIO DE 2023.</v>
      </c>
      <c r="K432" s="1201"/>
    </row>
    <row r="434" spans="1:10">
      <c r="A434" s="1903" t="str">
        <f>'RESUMO SEM DESONERAÇÃO'!$A$47:$E$47</f>
        <v>_______________________________________</v>
      </c>
      <c r="B434" s="1903"/>
      <c r="C434" s="1903"/>
      <c r="D434" s="1903"/>
      <c r="E434" s="1903"/>
      <c r="F434" s="1903"/>
      <c r="G434" s="1903"/>
      <c r="H434" s="1903"/>
      <c r="I434" s="1903"/>
      <c r="J434" s="1903"/>
    </row>
    <row r="435" spans="1:10">
      <c r="A435" s="1903" t="str">
        <f>'RESUMO SEM DESONERAÇÃO'!$A$48:$E$48</f>
        <v>PAULO PAZETO MEDEIROS</v>
      </c>
      <c r="B435" s="1903"/>
      <c r="C435" s="1903"/>
      <c r="D435" s="1903"/>
      <c r="E435" s="1903"/>
      <c r="F435" s="1903"/>
      <c r="G435" s="1903"/>
      <c r="H435" s="1903"/>
      <c r="I435" s="1903"/>
      <c r="J435" s="1903"/>
    </row>
    <row r="436" spans="1:10">
      <c r="A436" s="1903" t="str">
        <f>'RESUMO SEM DESONERAÇÃO'!$A$49:$E$49</f>
        <v>DIRETOR/ENGENHEIRO CIVIL</v>
      </c>
      <c r="B436" s="1903"/>
      <c r="C436" s="1903"/>
      <c r="D436" s="1903"/>
      <c r="E436" s="1903"/>
      <c r="F436" s="1903"/>
      <c r="G436" s="1903"/>
      <c r="H436" s="1903"/>
      <c r="I436" s="1903"/>
      <c r="J436" s="1903"/>
    </row>
    <row r="437" spans="1:10">
      <c r="A437" s="1903" t="str">
        <f>'RESUMO SEM DESONERAÇÃO'!$A$50:$E$50</f>
        <v>CREA MT034442</v>
      </c>
      <c r="B437" s="1903"/>
      <c r="C437" s="1903"/>
      <c r="D437" s="1903"/>
      <c r="E437" s="1903"/>
      <c r="F437" s="1903"/>
      <c r="G437" s="1903"/>
      <c r="H437" s="1903"/>
      <c r="I437" s="1903"/>
      <c r="J437" s="1903"/>
    </row>
    <row r="438" spans="1:10">
      <c r="A438" s="1903" t="str">
        <f>'RESUMO SEM DESONERAÇÃO'!$A$51:$E$51</f>
        <v>CPF 037.578.081-50</v>
      </c>
      <c r="B438" s="1903"/>
      <c r="C438" s="1903"/>
      <c r="D438" s="1903"/>
      <c r="E438" s="1903"/>
      <c r="F438" s="1903"/>
      <c r="G438" s="1903"/>
      <c r="H438" s="1903"/>
      <c r="I438" s="1903"/>
      <c r="J438" s="1903"/>
    </row>
  </sheetData>
  <mergeCells count="19">
    <mergeCell ref="B430:I430"/>
    <mergeCell ref="B431:D431"/>
    <mergeCell ref="E431:I431"/>
    <mergeCell ref="N23:P23"/>
    <mergeCell ref="L225:M225"/>
    <mergeCell ref="L23:M23"/>
    <mergeCell ref="B11:C11"/>
    <mergeCell ref="B12:C12"/>
    <mergeCell ref="C3:I3"/>
    <mergeCell ref="C4:I4"/>
    <mergeCell ref="C5:I5"/>
    <mergeCell ref="B10:C10"/>
    <mergeCell ref="B9:D9"/>
    <mergeCell ref="A8:J8"/>
    <mergeCell ref="A434:J434"/>
    <mergeCell ref="A435:J435"/>
    <mergeCell ref="A436:J436"/>
    <mergeCell ref="A437:J437"/>
    <mergeCell ref="A438:J438"/>
  </mergeCells>
  <printOptions horizontalCentered="1"/>
  <pageMargins left="0.39370078740157483" right="0.39370078740157483" top="0.39370078740157483" bottom="0.39370078740157483" header="0.31496062992125984" footer="0.31496062992125984"/>
  <pageSetup paperSize="9" scale="55" orientation="portrait" r:id="rId1"/>
  <ignoredErrors>
    <ignoredError sqref="J113 J290 J125 J371 J163 J166" formula="1"/>
    <ignoredError sqref="K311 K318:K319 K332 K334 K330"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7A45-41B1-45C6-98A1-F12FEED78578}">
  <dimension ref="A1:O2681"/>
  <sheetViews>
    <sheetView tabSelected="1" view="pageBreakPreview" zoomScaleNormal="100" zoomScaleSheetLayoutView="100" workbookViewId="0">
      <selection activeCell="H48" sqref="H48"/>
    </sheetView>
  </sheetViews>
  <sheetFormatPr defaultRowHeight="15"/>
  <cols>
    <col min="1" max="1" width="9.7109375" customWidth="1"/>
    <col min="2" max="2" width="11.28515625" bestFit="1" customWidth="1"/>
    <col min="3" max="3" width="9.5703125" customWidth="1"/>
    <col min="4" max="4" width="42.140625" customWidth="1"/>
    <col min="5" max="5" width="4.7109375" bestFit="1" customWidth="1"/>
    <col min="6" max="6" width="11.28515625" bestFit="1" customWidth="1"/>
    <col min="7" max="7" width="9.140625" hidden="1" customWidth="1"/>
    <col min="8" max="8" width="11.85546875" bestFit="1" customWidth="1"/>
    <col min="9" max="9" width="12.85546875" bestFit="1" customWidth="1"/>
    <col min="10" max="10" width="11.42578125" hidden="1" customWidth="1"/>
    <col min="11" max="11" width="15.28515625" customWidth="1"/>
    <col min="12" max="12" width="14.140625" customWidth="1"/>
    <col min="13" max="13" width="15.85546875" bestFit="1" customWidth="1"/>
    <col min="15" max="15" width="14.140625" bestFit="1" customWidth="1"/>
  </cols>
  <sheetData>
    <row r="1" spans="1:15" ht="110.25" customHeight="1">
      <c r="A1" s="1916"/>
      <c r="B1" s="1916"/>
      <c r="C1" s="1916"/>
      <c r="D1" s="1916"/>
      <c r="E1" s="1916"/>
      <c r="F1" s="1916"/>
      <c r="G1" s="1916"/>
      <c r="H1" s="1916"/>
      <c r="I1" s="1916"/>
    </row>
    <row r="2" spans="1:15">
      <c r="A2" s="1917" t="s">
        <v>2457</v>
      </c>
      <c r="B2" s="1918"/>
      <c r="C2" s="1918"/>
      <c r="D2" s="1918"/>
      <c r="E2" s="1918"/>
      <c r="F2" s="1918"/>
      <c r="G2" s="1918"/>
      <c r="H2" s="1918"/>
      <c r="I2" s="1919"/>
      <c r="J2" s="1770"/>
      <c r="K2" s="1923" t="s">
        <v>2458</v>
      </c>
      <c r="L2" s="1924" t="s">
        <v>2459</v>
      </c>
      <c r="M2" s="1924"/>
      <c r="N2" s="1924"/>
      <c r="O2" s="1924"/>
    </row>
    <row r="3" spans="1:15">
      <c r="A3" s="1920"/>
      <c r="B3" s="1921"/>
      <c r="C3" s="1921"/>
      <c r="D3" s="1921"/>
      <c r="E3" s="1921"/>
      <c r="F3" s="1921"/>
      <c r="G3" s="1921"/>
      <c r="H3" s="1921"/>
      <c r="I3" s="1922"/>
      <c r="J3" s="1770"/>
      <c r="K3" s="1923"/>
      <c r="L3" s="1924" t="s">
        <v>2460</v>
      </c>
      <c r="M3" s="1924" t="s">
        <v>2461</v>
      </c>
      <c r="N3" s="1924" t="s">
        <v>2462</v>
      </c>
      <c r="O3" s="1924"/>
    </row>
    <row r="4" spans="1:15">
      <c r="A4" s="1771" t="s">
        <v>2463</v>
      </c>
      <c r="B4" s="1925" t="str">
        <f>'PLANILHA SEM DESON'!B10:C10</f>
        <v>CONSTRUÇÃO DE DIRETORIA DE UNIDADE DESCONCENTRADA DA SEMA - DUDS</v>
      </c>
      <c r="C4" s="1926"/>
      <c r="D4" s="1926"/>
      <c r="E4" s="1926"/>
      <c r="F4" s="1926"/>
      <c r="G4" s="1926"/>
      <c r="H4" s="1926"/>
      <c r="I4" s="1927"/>
      <c r="J4" s="1770"/>
      <c r="K4" s="1923"/>
      <c r="L4" s="1924"/>
      <c r="M4" s="1924"/>
      <c r="N4" s="1772" t="s">
        <v>31</v>
      </c>
      <c r="O4" s="1773" t="s">
        <v>2464</v>
      </c>
    </row>
    <row r="5" spans="1:15">
      <c r="A5" s="1771" t="s">
        <v>2465</v>
      </c>
      <c r="B5" s="1928" t="str">
        <f>'PLANILHA SEM DESON'!C13</f>
        <v xml:space="preserve"> FONTE: SINAPI OUT/2022(SEM DESONERAÇÃO)</v>
      </c>
      <c r="C5" s="1928"/>
      <c r="D5" s="1928"/>
      <c r="E5" s="1928"/>
      <c r="F5" s="1928"/>
      <c r="G5" s="1928"/>
      <c r="H5" s="1928"/>
      <c r="I5" s="1774"/>
      <c r="J5" s="1770"/>
      <c r="K5" s="1923"/>
      <c r="L5" s="1775">
        <v>1746072.62</v>
      </c>
      <c r="M5" s="1776">
        <f>'PLANILHA SEM DESON'!J430</f>
        <v>1737226.32</v>
      </c>
      <c r="N5" s="1777">
        <f>O5/L5</f>
        <v>5.0663986701767567E-3</v>
      </c>
      <c r="O5" s="1778">
        <f>L5-M5</f>
        <v>8846.3000000000466</v>
      </c>
    </row>
    <row r="6" spans="1:15">
      <c r="A6" s="1779" t="s">
        <v>2466</v>
      </c>
      <c r="B6" s="1932" t="str">
        <f>'PLANILHA SEM DESON'!B12:C12</f>
        <v>TANGARÁ DA SERRA - MT</v>
      </c>
      <c r="C6" s="1933"/>
      <c r="D6" s="1933"/>
      <c r="E6" s="1933"/>
      <c r="F6" s="1933"/>
      <c r="G6" s="1933"/>
      <c r="H6" s="1933"/>
      <c r="I6" s="1774"/>
      <c r="J6" s="1770"/>
      <c r="K6" s="1780"/>
      <c r="L6" s="1934" t="s">
        <v>2467</v>
      </c>
      <c r="M6" s="1935"/>
      <c r="N6" s="1935"/>
      <c r="O6" s="1936"/>
    </row>
    <row r="7" spans="1:15">
      <c r="A7" s="1781" t="s">
        <v>2468</v>
      </c>
      <c r="B7" s="1937" t="s">
        <v>2469</v>
      </c>
      <c r="C7" s="1938"/>
      <c r="D7" s="1938"/>
      <c r="E7" s="1938"/>
      <c r="F7" s="1938"/>
      <c r="G7" s="1938"/>
      <c r="H7" s="1939"/>
      <c r="I7" s="1782" t="s">
        <v>202</v>
      </c>
      <c r="J7" s="1770"/>
      <c r="K7" s="1780">
        <v>5.1000000000000004E-3</v>
      </c>
      <c r="L7" s="1783"/>
      <c r="M7" s="1783"/>
      <c r="N7" s="1783"/>
      <c r="O7" s="1783"/>
    </row>
    <row r="8" spans="1:15">
      <c r="A8" s="1784" t="str">
        <f>'PLANILHA SEM DESON'!B17</f>
        <v>COMP 01</v>
      </c>
      <c r="B8" s="1940" t="str">
        <f>VLOOKUP(A8,'PLANILHA SEM DESON'!$B$17:$D$1700,2,FALSE)</f>
        <v>ADMINISTRAÇÃO LOCAL DA OBRA</v>
      </c>
      <c r="C8" s="1941"/>
      <c r="D8" s="1941"/>
      <c r="E8" s="1941"/>
      <c r="F8" s="1941"/>
      <c r="G8" s="1941"/>
      <c r="H8" s="1942"/>
      <c r="I8" s="1785" t="str">
        <f>VLOOKUP(A8,'PLANILHA SEM DESON'!$B$17:$D$1700,3,FALSE)</f>
        <v xml:space="preserve">un </v>
      </c>
      <c r="J8" s="1786">
        <f>I13</f>
        <v>80240.959999999992</v>
      </c>
      <c r="K8" s="1787"/>
      <c r="M8" s="1783"/>
      <c r="N8" s="1783"/>
      <c r="O8" s="1783"/>
    </row>
    <row r="9" spans="1:15" ht="24">
      <c r="A9" s="1788" t="s">
        <v>2470</v>
      </c>
      <c r="B9" s="1789" t="s">
        <v>2471</v>
      </c>
      <c r="C9" s="1790" t="s">
        <v>2468</v>
      </c>
      <c r="D9" s="1791" t="s">
        <v>308</v>
      </c>
      <c r="E9" s="1790" t="s">
        <v>202</v>
      </c>
      <c r="F9" s="1792" t="s">
        <v>2472</v>
      </c>
      <c r="G9" s="1790" t="s">
        <v>2473</v>
      </c>
      <c r="H9" s="1793" t="s">
        <v>2474</v>
      </c>
      <c r="I9" s="1794" t="s">
        <v>2475</v>
      </c>
      <c r="J9" s="1795"/>
      <c r="M9" s="1796"/>
      <c r="N9" s="1783"/>
      <c r="O9" s="1783"/>
    </row>
    <row r="10" spans="1:15" ht="24">
      <c r="A10" s="1797" t="s">
        <v>2476</v>
      </c>
      <c r="B10" s="1798" t="s">
        <v>7</v>
      </c>
      <c r="C10" s="1798">
        <v>90776</v>
      </c>
      <c r="D10" s="1799" t="s">
        <v>119</v>
      </c>
      <c r="E10" s="1800" t="s">
        <v>57</v>
      </c>
      <c r="F10" s="1806">
        <v>704</v>
      </c>
      <c r="G10" s="1807">
        <v>28.39</v>
      </c>
      <c r="H10" s="1802">
        <f>IF(E10="H",G10,TRUNC(G10*(1-$K$7),2))</f>
        <v>28.39</v>
      </c>
      <c r="I10" s="1803">
        <f t="shared" ref="I10:I12" si="0">TRUNC(H10*F10,2)</f>
        <v>19986.560000000001</v>
      </c>
      <c r="J10" s="1795"/>
      <c r="M10" s="1796"/>
      <c r="N10" s="1783"/>
      <c r="O10" s="1783"/>
    </row>
    <row r="11" spans="1:15">
      <c r="A11" s="1797" t="s">
        <v>2476</v>
      </c>
      <c r="B11" s="1798" t="s">
        <v>7</v>
      </c>
      <c r="C11" s="1798">
        <v>88326</v>
      </c>
      <c r="D11" s="1799" t="s">
        <v>2184</v>
      </c>
      <c r="E11" s="1800" t="s">
        <v>57</v>
      </c>
      <c r="F11" s="1806">
        <v>1440</v>
      </c>
      <c r="G11" s="1807">
        <v>24.65</v>
      </c>
      <c r="H11" s="1802">
        <f>IF(E11="H",G11,TRUNC(G11*(1-$K$7),2))</f>
        <v>24.65</v>
      </c>
      <c r="I11" s="1803">
        <f t="shared" si="0"/>
        <v>35496</v>
      </c>
      <c r="J11" s="1795"/>
      <c r="M11" s="1796"/>
      <c r="N11" s="1783"/>
      <c r="O11" s="1783"/>
    </row>
    <row r="12" spans="1:15" ht="24">
      <c r="A12" s="1797" t="s">
        <v>2476</v>
      </c>
      <c r="B12" s="1798" t="s">
        <v>7</v>
      </c>
      <c r="C12" s="1798">
        <v>90777</v>
      </c>
      <c r="D12" s="1799" t="s">
        <v>131</v>
      </c>
      <c r="E12" s="1800" t="s">
        <v>57</v>
      </c>
      <c r="F12" s="1806">
        <v>240</v>
      </c>
      <c r="G12" s="1808">
        <v>103.16</v>
      </c>
      <c r="H12" s="1802">
        <f>IF(E12="H",G12,TRUNC(G12*(1-$K$7),2))</f>
        <v>103.16</v>
      </c>
      <c r="I12" s="1803">
        <f t="shared" si="0"/>
        <v>24758.400000000001</v>
      </c>
      <c r="J12" s="1795"/>
      <c r="M12" s="1796"/>
      <c r="N12" s="1783"/>
      <c r="O12" s="1783"/>
    </row>
    <row r="13" spans="1:15">
      <c r="A13" s="1943" t="s">
        <v>2477</v>
      </c>
      <c r="B13" s="1944"/>
      <c r="C13" s="1944"/>
      <c r="D13" s="1944"/>
      <c r="E13" s="1944"/>
      <c r="F13" s="1944"/>
      <c r="G13" s="1944"/>
      <c r="H13" s="1945"/>
      <c r="I13" s="1805">
        <f>SUM(I10:I12)</f>
        <v>80240.959999999992</v>
      </c>
      <c r="J13" s="1795"/>
      <c r="K13" s="1804"/>
      <c r="L13" s="1783"/>
      <c r="M13" s="1783"/>
      <c r="N13" s="1783"/>
      <c r="O13" s="1783"/>
    </row>
    <row r="14" spans="1:15">
      <c r="A14" s="1929"/>
      <c r="B14" s="1930"/>
      <c r="C14" s="1930"/>
      <c r="D14" s="1930"/>
      <c r="E14" s="1930"/>
      <c r="F14" s="1930"/>
      <c r="G14" s="1930"/>
      <c r="H14" s="1930"/>
      <c r="I14" s="1931"/>
      <c r="J14" s="1795"/>
      <c r="K14" s="1804"/>
      <c r="L14" s="1783"/>
      <c r="M14" s="1783"/>
      <c r="N14" s="1783"/>
      <c r="O14" s="1783"/>
    </row>
    <row r="15" spans="1:15">
      <c r="A15" s="1784" t="str">
        <f>'PLANILHA SEM DESON'!B20</f>
        <v>COMP 02</v>
      </c>
      <c r="B15" s="1940" t="str">
        <f>VLOOKUP(A15,'PLANILHA SEM DESON'!$B$17:$D$1700,2,FALSE)</f>
        <v>PLACA DE OBRA EM CHAPA DE ACO GALVANIZADO</v>
      </c>
      <c r="C15" s="1941"/>
      <c r="D15" s="1941"/>
      <c r="E15" s="1941"/>
      <c r="F15" s="1941"/>
      <c r="G15" s="1941"/>
      <c r="H15" s="1942"/>
      <c r="I15" s="1785" t="str">
        <f>VLOOKUP(A15,'PLANILHA SEM DESON'!$B$17:$D$1700,3,FALSE)</f>
        <v>m²</v>
      </c>
      <c r="J15" s="1786">
        <f>I24</f>
        <v>521.70000000000005</v>
      </c>
      <c r="K15" s="1787"/>
    </row>
    <row r="16" spans="1:15" ht="24">
      <c r="A16" s="1788" t="s">
        <v>2470</v>
      </c>
      <c r="B16" s="1789" t="s">
        <v>2471</v>
      </c>
      <c r="C16" s="1790" t="s">
        <v>2468</v>
      </c>
      <c r="D16" s="1791" t="s">
        <v>308</v>
      </c>
      <c r="E16" s="1790" t="s">
        <v>202</v>
      </c>
      <c r="F16" s="1792" t="s">
        <v>2472</v>
      </c>
      <c r="G16" s="1790" t="s">
        <v>2473</v>
      </c>
      <c r="H16" s="1793" t="s">
        <v>2474</v>
      </c>
      <c r="I16" s="1794" t="s">
        <v>2475</v>
      </c>
      <c r="J16" s="1795"/>
    </row>
    <row r="17" spans="1:11" ht="24">
      <c r="A17" s="1797" t="s">
        <v>2476</v>
      </c>
      <c r="B17" s="1798" t="s">
        <v>7</v>
      </c>
      <c r="C17" s="1798">
        <v>88262</v>
      </c>
      <c r="D17" s="1799" t="s">
        <v>441</v>
      </c>
      <c r="E17" s="1800" t="s">
        <v>57</v>
      </c>
      <c r="F17" s="1806">
        <v>1</v>
      </c>
      <c r="G17" s="1808">
        <v>24.32</v>
      </c>
      <c r="H17" s="1802">
        <f t="shared" ref="H17:H23" si="1">IF(E17="H",G17,TRUNC(G17*(1-$K$7),2))</f>
        <v>24.32</v>
      </c>
      <c r="I17" s="1803">
        <f t="shared" ref="I17:I20" si="2">TRUNC(H17*F17,2)</f>
        <v>24.32</v>
      </c>
      <c r="J17" s="1795"/>
    </row>
    <row r="18" spans="1:11">
      <c r="A18" s="1797" t="s">
        <v>2476</v>
      </c>
      <c r="B18" s="1798" t="s">
        <v>7</v>
      </c>
      <c r="C18" s="1798">
        <v>88316</v>
      </c>
      <c r="D18" s="1799" t="s">
        <v>66</v>
      </c>
      <c r="E18" s="1800" t="s">
        <v>57</v>
      </c>
      <c r="F18" s="1806">
        <v>2</v>
      </c>
      <c r="G18" s="1808">
        <v>19.45</v>
      </c>
      <c r="H18" s="1802">
        <f t="shared" si="1"/>
        <v>19.45</v>
      </c>
      <c r="I18" s="1803">
        <f t="shared" si="2"/>
        <v>38.9</v>
      </c>
      <c r="J18" s="1795"/>
    </row>
    <row r="19" spans="1:11" ht="36">
      <c r="A19" s="1797" t="s">
        <v>2476</v>
      </c>
      <c r="B19" s="1798" t="s">
        <v>7</v>
      </c>
      <c r="C19" s="1798">
        <v>94962</v>
      </c>
      <c r="D19" s="1799" t="s">
        <v>442</v>
      </c>
      <c r="E19" s="1800" t="s">
        <v>47</v>
      </c>
      <c r="F19" s="1806">
        <v>0.01</v>
      </c>
      <c r="G19" s="1806">
        <v>438.71</v>
      </c>
      <c r="H19" s="1802">
        <f t="shared" si="1"/>
        <v>436.47</v>
      </c>
      <c r="I19" s="1803">
        <f t="shared" si="2"/>
        <v>4.3600000000000003</v>
      </c>
      <c r="J19" s="1795"/>
    </row>
    <row r="20" spans="1:11" ht="36">
      <c r="A20" s="1797" t="s">
        <v>2476</v>
      </c>
      <c r="B20" s="1798" t="s">
        <v>2479</v>
      </c>
      <c r="C20" s="1798">
        <v>4417</v>
      </c>
      <c r="D20" s="1799" t="s">
        <v>443</v>
      </c>
      <c r="E20" s="1800" t="s">
        <v>54</v>
      </c>
      <c r="F20" s="1806">
        <v>1</v>
      </c>
      <c r="G20" s="1806">
        <v>6.93</v>
      </c>
      <c r="H20" s="1802">
        <f t="shared" si="1"/>
        <v>6.89</v>
      </c>
      <c r="I20" s="1803">
        <f t="shared" si="2"/>
        <v>6.89</v>
      </c>
      <c r="J20" s="1795"/>
    </row>
    <row r="21" spans="1:11" ht="24">
      <c r="A21" s="1797" t="s">
        <v>2476</v>
      </c>
      <c r="B21" s="1798" t="s">
        <v>2479</v>
      </c>
      <c r="C21" s="1798">
        <v>4491</v>
      </c>
      <c r="D21" s="1799" t="s">
        <v>444</v>
      </c>
      <c r="E21" s="1800" t="s">
        <v>54</v>
      </c>
      <c r="F21" s="1806">
        <v>4</v>
      </c>
      <c r="G21" s="1806">
        <v>11.67</v>
      </c>
      <c r="H21" s="1802">
        <f t="shared" si="1"/>
        <v>11.61</v>
      </c>
      <c r="I21" s="1803">
        <f t="shared" ref="I21:I23" si="3">TRUNC(H21*F21,2)</f>
        <v>46.44</v>
      </c>
      <c r="J21" s="1795"/>
    </row>
    <row r="22" spans="1:11" ht="24">
      <c r="A22" s="1797" t="s">
        <v>2476</v>
      </c>
      <c r="B22" s="1798" t="s">
        <v>2479</v>
      </c>
      <c r="C22" s="1798">
        <v>4813</v>
      </c>
      <c r="D22" s="1799" t="s">
        <v>445</v>
      </c>
      <c r="E22" s="1800" t="s">
        <v>46</v>
      </c>
      <c r="F22" s="1806">
        <v>1</v>
      </c>
      <c r="G22" s="1806">
        <v>400</v>
      </c>
      <c r="H22" s="1802">
        <f t="shared" si="1"/>
        <v>397.96</v>
      </c>
      <c r="I22" s="1803">
        <f t="shared" si="3"/>
        <v>397.96</v>
      </c>
      <c r="J22" s="1795"/>
    </row>
    <row r="23" spans="1:11" ht="24">
      <c r="A23" s="1797" t="s">
        <v>2476</v>
      </c>
      <c r="B23" s="1798" t="s">
        <v>2479</v>
      </c>
      <c r="C23" s="1798">
        <v>5075</v>
      </c>
      <c r="D23" s="1799" t="s">
        <v>446</v>
      </c>
      <c r="E23" s="1800" t="s">
        <v>100</v>
      </c>
      <c r="F23" s="1806">
        <v>0.11</v>
      </c>
      <c r="G23" s="1806">
        <v>25.89</v>
      </c>
      <c r="H23" s="1802">
        <f t="shared" si="1"/>
        <v>25.75</v>
      </c>
      <c r="I23" s="1803">
        <f t="shared" si="3"/>
        <v>2.83</v>
      </c>
      <c r="J23" s="1795"/>
      <c r="K23" s="1804"/>
    </row>
    <row r="24" spans="1:11">
      <c r="A24" s="1943" t="s">
        <v>2477</v>
      </c>
      <c r="B24" s="1944"/>
      <c r="C24" s="1944"/>
      <c r="D24" s="1944"/>
      <c r="E24" s="1944"/>
      <c r="F24" s="1944"/>
      <c r="G24" s="1944"/>
      <c r="H24" s="1945"/>
      <c r="I24" s="1805">
        <f>SUM(I17:I23)</f>
        <v>521.70000000000005</v>
      </c>
      <c r="J24" s="1795"/>
      <c r="K24" s="1804"/>
    </row>
    <row r="25" spans="1:11">
      <c r="A25" s="1929"/>
      <c r="B25" s="1930"/>
      <c r="C25" s="1930"/>
      <c r="D25" s="1930"/>
      <c r="E25" s="1930"/>
      <c r="F25" s="1930"/>
      <c r="G25" s="1930"/>
      <c r="H25" s="1930"/>
      <c r="I25" s="1931"/>
      <c r="J25" s="1795"/>
      <c r="K25" s="1804"/>
    </row>
    <row r="26" spans="1:11" ht="28.5" customHeight="1">
      <c r="A26" s="1784">
        <f>'PLANILHA SEM DESON'!B21</f>
        <v>98525</v>
      </c>
      <c r="B26" s="1940" t="str">
        <f>VLOOKUP(A26,'PLANILHA SEM DESON'!$B$17:$D$1700,2,FALSE)</f>
        <v>LIMPEZA MECANIZADA DE CAMADA VEGETAL, VEGETAÇÃO E PEQUENAS ÁRVORES (DIÂMETRO DE TRONCO MENOR QUE 0,20 M), COM TRATOR DE ESTEIRAS.AF_05/2018</v>
      </c>
      <c r="C26" s="1941"/>
      <c r="D26" s="1941"/>
      <c r="E26" s="1941"/>
      <c r="F26" s="1941"/>
      <c r="G26" s="1941"/>
      <c r="H26" s="1942"/>
      <c r="I26" s="1785" t="str">
        <f>VLOOKUP(A26,'PLANILHA SEM DESON'!$B$17:$D$1700,3,FALSE)</f>
        <v>m²</v>
      </c>
      <c r="J26" s="1786">
        <f>I32</f>
        <v>0.35</v>
      </c>
      <c r="K26" s="1787"/>
    </row>
    <row r="27" spans="1:11" ht="24">
      <c r="A27" s="1788" t="s">
        <v>2470</v>
      </c>
      <c r="B27" s="1789" t="s">
        <v>2471</v>
      </c>
      <c r="C27" s="1790" t="s">
        <v>2468</v>
      </c>
      <c r="D27" s="1791" t="s">
        <v>308</v>
      </c>
      <c r="E27" s="1790" t="s">
        <v>202</v>
      </c>
      <c r="F27" s="1792" t="s">
        <v>2472</v>
      </c>
      <c r="G27" s="1790" t="s">
        <v>2473</v>
      </c>
      <c r="H27" s="1793" t="s">
        <v>2474</v>
      </c>
      <c r="I27" s="1794" t="s">
        <v>2475</v>
      </c>
      <c r="J27" s="1795"/>
    </row>
    <row r="28" spans="1:11">
      <c r="A28" s="1797" t="s">
        <v>2476</v>
      </c>
      <c r="B28" s="1798" t="s">
        <v>7</v>
      </c>
      <c r="C28" s="1798">
        <v>88316</v>
      </c>
      <c r="D28" s="1799" t="s">
        <v>66</v>
      </c>
      <c r="E28" s="1800" t="s">
        <v>411</v>
      </c>
      <c r="F28" s="1807">
        <v>3.0000000000000001E-3</v>
      </c>
      <c r="G28" s="1801">
        <v>19.45</v>
      </c>
      <c r="H28" s="1802">
        <f>IF(E28="H",G28,TRUNC(G28*(1-$K$7),2))</f>
        <v>19.45</v>
      </c>
      <c r="I28" s="1803">
        <f t="shared" ref="I28:I31" si="4">TRUNC(H28*F28,2)</f>
        <v>0.05</v>
      </c>
      <c r="J28" s="1795"/>
    </row>
    <row r="29" spans="1:11">
      <c r="A29" s="1797" t="s">
        <v>2476</v>
      </c>
      <c r="B29" s="1798" t="s">
        <v>7</v>
      </c>
      <c r="C29" s="1798">
        <v>88441</v>
      </c>
      <c r="D29" s="1799" t="s">
        <v>2480</v>
      </c>
      <c r="E29" s="1800" t="s">
        <v>411</v>
      </c>
      <c r="F29" s="1807">
        <v>3.0000000000000001E-3</v>
      </c>
      <c r="G29" s="1801">
        <v>21.15</v>
      </c>
      <c r="H29" s="1802">
        <f>IF(E29="H",G29,TRUNC(G29*(1-$K$7),2))</f>
        <v>21.15</v>
      </c>
      <c r="I29" s="1803">
        <f t="shared" si="4"/>
        <v>0.06</v>
      </c>
      <c r="J29" s="1795"/>
    </row>
    <row r="30" spans="1:11" ht="36">
      <c r="A30" s="1797" t="s">
        <v>2476</v>
      </c>
      <c r="B30" s="1798" t="s">
        <v>7</v>
      </c>
      <c r="C30" s="1798">
        <v>89031</v>
      </c>
      <c r="D30" s="1799" t="s">
        <v>2481</v>
      </c>
      <c r="E30" s="1800" t="s">
        <v>577</v>
      </c>
      <c r="F30" s="1807">
        <v>2.3999999999999998E-3</v>
      </c>
      <c r="G30" s="1801">
        <v>58.47</v>
      </c>
      <c r="H30" s="1802">
        <f>IF(E30="H",G30,TRUNC(G30*(1-$K$7),2))</f>
        <v>58.17</v>
      </c>
      <c r="I30" s="1803">
        <f t="shared" si="4"/>
        <v>0.13</v>
      </c>
      <c r="J30" s="1795"/>
    </row>
    <row r="31" spans="1:11" ht="36">
      <c r="A31" s="1797" t="s">
        <v>2476</v>
      </c>
      <c r="B31" s="1798" t="s">
        <v>7</v>
      </c>
      <c r="C31" s="1798">
        <v>89032</v>
      </c>
      <c r="D31" s="1799" t="s">
        <v>2482</v>
      </c>
      <c r="E31" s="1800" t="s">
        <v>456</v>
      </c>
      <c r="F31" s="1807">
        <v>5.9999999999999995E-4</v>
      </c>
      <c r="G31" s="1801">
        <v>186.05</v>
      </c>
      <c r="H31" s="1802">
        <f>IF(E31="H",G31,TRUNC(G31*(1-$K$7),2))</f>
        <v>185.1</v>
      </c>
      <c r="I31" s="1803">
        <f t="shared" si="4"/>
        <v>0.11</v>
      </c>
      <c r="J31" s="1795"/>
    </row>
    <row r="32" spans="1:11">
      <c r="A32" s="1943" t="s">
        <v>2477</v>
      </c>
      <c r="B32" s="1944"/>
      <c r="C32" s="1944"/>
      <c r="D32" s="1944"/>
      <c r="E32" s="1944"/>
      <c r="F32" s="1944"/>
      <c r="G32" s="1944"/>
      <c r="H32" s="1945"/>
      <c r="I32" s="1805">
        <f>SUM(I28:I31)</f>
        <v>0.35</v>
      </c>
      <c r="J32" s="1795"/>
      <c r="K32" s="1804"/>
    </row>
    <row r="33" spans="1:11">
      <c r="A33" s="1929"/>
      <c r="B33" s="1930"/>
      <c r="C33" s="1930"/>
      <c r="D33" s="1930"/>
      <c r="E33" s="1930"/>
      <c r="F33" s="1930"/>
      <c r="G33" s="1930"/>
      <c r="H33" s="1930"/>
      <c r="I33" s="1931"/>
      <c r="J33" s="1795"/>
      <c r="K33" s="1804"/>
    </row>
    <row r="34" spans="1:11" ht="27" customHeight="1">
      <c r="A34" s="1784">
        <f>'PLANILHA SEM DESON'!B22</f>
        <v>100981</v>
      </c>
      <c r="B34" s="1940" t="str">
        <f>VLOOKUP(A34,'PLANILHA SEM DESON'!$B$17:$D$1700,2,FALSE)</f>
        <v>CARGA, MANOBRA E DESCARGA DE ENTULHO EM CAMINHÃO BASCULANTE 6 M³ - CARGA COM ESCAVADEIRA HIDRÁULICA (CAÇAMBA DE 0,80 M³ / 111 HP) E DESCARGA LIVRE (UNIDADE: M3). AF_07/2020</v>
      </c>
      <c r="C34" s="1941"/>
      <c r="D34" s="1941"/>
      <c r="E34" s="1941"/>
      <c r="F34" s="1941"/>
      <c r="G34" s="1941"/>
      <c r="H34" s="1942"/>
      <c r="I34" s="1785" t="str">
        <f>VLOOKUP(A34,'PLANILHA SEM DESON'!$B$17:$D$1700,3,FALSE)</f>
        <v>m³</v>
      </c>
      <c r="J34" s="1786">
        <f>I40</f>
        <v>8.2899999999999991</v>
      </c>
    </row>
    <row r="35" spans="1:11" ht="24">
      <c r="A35" s="1788" t="s">
        <v>2470</v>
      </c>
      <c r="B35" s="1789" t="s">
        <v>2471</v>
      </c>
      <c r="C35" s="1790" t="s">
        <v>2468</v>
      </c>
      <c r="D35" s="1791" t="s">
        <v>308</v>
      </c>
      <c r="E35" s="1790" t="s">
        <v>202</v>
      </c>
      <c r="F35" s="1792" t="s">
        <v>2472</v>
      </c>
      <c r="G35" s="1790" t="s">
        <v>2473</v>
      </c>
      <c r="H35" s="1793" t="s">
        <v>2474</v>
      </c>
      <c r="I35" s="1794" t="s">
        <v>2475</v>
      </c>
      <c r="J35" s="1795"/>
    </row>
    <row r="36" spans="1:11" ht="36">
      <c r="A36" s="1797" t="s">
        <v>2476</v>
      </c>
      <c r="B36" s="1798" t="s">
        <v>7</v>
      </c>
      <c r="C36" s="1798">
        <v>5631</v>
      </c>
      <c r="D36" s="1799" t="s">
        <v>2483</v>
      </c>
      <c r="E36" s="1800" t="s">
        <v>456</v>
      </c>
      <c r="F36" s="1807">
        <v>8.3000000000000001E-3</v>
      </c>
      <c r="G36" s="1801">
        <v>208.88</v>
      </c>
      <c r="H36" s="1802">
        <f>IF(E36="H",G36,TRUNC(G36*(1-$K$7),2))</f>
        <v>207.81</v>
      </c>
      <c r="I36" s="1803">
        <f t="shared" ref="I36:I39" si="5">TRUNC(H36*F36,2)</f>
        <v>1.72</v>
      </c>
      <c r="J36" s="1795"/>
    </row>
    <row r="37" spans="1:11" ht="36">
      <c r="A37" s="1797" t="s">
        <v>2476</v>
      </c>
      <c r="B37" s="1798" t="s">
        <v>7</v>
      </c>
      <c r="C37" s="1798">
        <v>5632</v>
      </c>
      <c r="D37" s="1799" t="s">
        <v>2484</v>
      </c>
      <c r="E37" s="1800" t="s">
        <v>577</v>
      </c>
      <c r="F37" s="1807">
        <v>1.5100000000000001E-2</v>
      </c>
      <c r="G37" s="1801">
        <v>77.44</v>
      </c>
      <c r="H37" s="1802">
        <f>IF(E37="H",G37,TRUNC(G37*(1-$K$7),2))</f>
        <v>77.040000000000006</v>
      </c>
      <c r="I37" s="1803">
        <f t="shared" si="5"/>
        <v>1.1599999999999999</v>
      </c>
      <c r="J37" s="1795"/>
    </row>
    <row r="38" spans="1:11" ht="60">
      <c r="A38" s="1797" t="s">
        <v>2476</v>
      </c>
      <c r="B38" s="1798" t="s">
        <v>7</v>
      </c>
      <c r="C38" s="1798">
        <v>67826</v>
      </c>
      <c r="D38" s="1799" t="s">
        <v>2485</v>
      </c>
      <c r="E38" s="1800" t="s">
        <v>456</v>
      </c>
      <c r="F38" s="1807">
        <v>2.6700000000000002E-2</v>
      </c>
      <c r="G38" s="1801">
        <v>169.86</v>
      </c>
      <c r="H38" s="1802">
        <f>IF(E38="H",G38,TRUNC(G38*(1-$K$7),2))</f>
        <v>168.99</v>
      </c>
      <c r="I38" s="1803">
        <f t="shared" si="5"/>
        <v>4.51</v>
      </c>
      <c r="J38" s="1795"/>
    </row>
    <row r="39" spans="1:11" ht="60">
      <c r="A39" s="1797" t="s">
        <v>2476</v>
      </c>
      <c r="B39" s="1798" t="s">
        <v>7</v>
      </c>
      <c r="C39" s="1798">
        <v>67827</v>
      </c>
      <c r="D39" s="1799" t="s">
        <v>2486</v>
      </c>
      <c r="E39" s="1800" t="s">
        <v>577</v>
      </c>
      <c r="F39" s="1807">
        <v>2.0299999999999999E-2</v>
      </c>
      <c r="G39" s="1801">
        <v>44.63</v>
      </c>
      <c r="H39" s="1802">
        <f>IF(E39="H",G39,TRUNC(G39*(1-$K$7),2))</f>
        <v>44.4</v>
      </c>
      <c r="I39" s="1803">
        <f t="shared" si="5"/>
        <v>0.9</v>
      </c>
      <c r="J39" s="1795"/>
    </row>
    <row r="40" spans="1:11">
      <c r="A40" s="1943" t="s">
        <v>2477</v>
      </c>
      <c r="B40" s="1944"/>
      <c r="C40" s="1944"/>
      <c r="D40" s="1944"/>
      <c r="E40" s="1944"/>
      <c r="F40" s="1944"/>
      <c r="G40" s="1944"/>
      <c r="H40" s="1945"/>
      <c r="I40" s="1805">
        <f>SUM(I36:I39)</f>
        <v>8.2899999999999991</v>
      </c>
      <c r="J40" s="1795"/>
    </row>
    <row r="41" spans="1:11">
      <c r="A41" s="1929"/>
      <c r="B41" s="1930"/>
      <c r="C41" s="1930"/>
      <c r="D41" s="1930"/>
      <c r="E41" s="1930"/>
      <c r="F41" s="1930"/>
      <c r="G41" s="1930"/>
      <c r="H41" s="1930"/>
      <c r="I41" s="1931"/>
      <c r="J41" s="1795"/>
    </row>
    <row r="42" spans="1:11" ht="23.25" customHeight="1">
      <c r="A42" s="1784">
        <f>'PLANILHA SEM DESON'!B23</f>
        <v>95875</v>
      </c>
      <c r="B42" s="1940" t="str">
        <f>VLOOKUP(A42,'PLANILHA SEM DESON'!$B$17:$D$1700,2,FALSE)</f>
        <v>TRANSPORTE COM CAMINHÃO BASCULANTE DE 6 M³, EM VIA URBANA PAVIMENTADA, DMT ATÉ 30 KM (UNIDADE: M3XKM). AF_07/2020</v>
      </c>
      <c r="C42" s="1941"/>
      <c r="D42" s="1941"/>
      <c r="E42" s="1941"/>
      <c r="F42" s="1941"/>
      <c r="G42" s="1941"/>
      <c r="H42" s="1942"/>
      <c r="I42" s="1785" t="str">
        <f>VLOOKUP(A42,'PLANILHA SEM DESON'!$B$17:$D$1700,3,FALSE)</f>
        <v>m³XKm</v>
      </c>
      <c r="J42" s="1786">
        <f>I46</f>
        <v>2.27</v>
      </c>
    </row>
    <row r="43" spans="1:11" ht="24">
      <c r="A43" s="1788" t="s">
        <v>2470</v>
      </c>
      <c r="B43" s="1789" t="s">
        <v>2471</v>
      </c>
      <c r="C43" s="1790" t="s">
        <v>2468</v>
      </c>
      <c r="D43" s="1791" t="s">
        <v>308</v>
      </c>
      <c r="E43" s="1790" t="s">
        <v>202</v>
      </c>
      <c r="F43" s="1792" t="s">
        <v>2472</v>
      </c>
      <c r="G43" s="1790" t="s">
        <v>2473</v>
      </c>
      <c r="H43" s="1793" t="s">
        <v>2474</v>
      </c>
      <c r="I43" s="1794" t="s">
        <v>2475</v>
      </c>
      <c r="J43" s="1795"/>
    </row>
    <row r="44" spans="1:11" ht="60">
      <c r="A44" s="1797" t="s">
        <v>2476</v>
      </c>
      <c r="B44" s="1798" t="s">
        <v>7</v>
      </c>
      <c r="C44" s="1798">
        <v>91386</v>
      </c>
      <c r="D44" s="1799" t="s">
        <v>2487</v>
      </c>
      <c r="E44" s="1800" t="s">
        <v>456</v>
      </c>
      <c r="F44" s="1807">
        <v>8.3000000000000001E-3</v>
      </c>
      <c r="G44" s="1801">
        <v>253.45</v>
      </c>
      <c r="H44" s="1802">
        <f>IF(E44="H",G44,TRUNC(G44*(1-$K$7),2))</f>
        <v>252.15</v>
      </c>
      <c r="I44" s="1803">
        <f t="shared" ref="I44:I45" si="6">TRUNC(H44*F44,2)</f>
        <v>2.09</v>
      </c>
      <c r="J44" s="1795"/>
    </row>
    <row r="45" spans="1:11" ht="60">
      <c r="A45" s="1797" t="s">
        <v>2476</v>
      </c>
      <c r="B45" s="1798" t="s">
        <v>7</v>
      </c>
      <c r="C45" s="1798">
        <v>91387</v>
      </c>
      <c r="D45" s="1799" t="s">
        <v>2488</v>
      </c>
      <c r="E45" s="1800" t="s">
        <v>577</v>
      </c>
      <c r="F45" s="1807">
        <v>3.5999999999999999E-3</v>
      </c>
      <c r="G45" s="1801">
        <v>51.63</v>
      </c>
      <c r="H45" s="1802">
        <f>IF(E45="H",G45,TRUNC(G45*(1-$K$7),2))</f>
        <v>51.36</v>
      </c>
      <c r="I45" s="1803">
        <f t="shared" si="6"/>
        <v>0.18</v>
      </c>
      <c r="J45" s="1795"/>
    </row>
    <row r="46" spans="1:11">
      <c r="A46" s="1943" t="s">
        <v>2477</v>
      </c>
      <c r="B46" s="1944"/>
      <c r="C46" s="1944"/>
      <c r="D46" s="1944"/>
      <c r="E46" s="1944"/>
      <c r="F46" s="1944"/>
      <c r="G46" s="1944"/>
      <c r="H46" s="1945"/>
      <c r="I46" s="1805">
        <f>SUM(I44:I45)</f>
        <v>2.27</v>
      </c>
      <c r="J46" s="1795"/>
    </row>
    <row r="47" spans="1:11">
      <c r="A47" s="1929"/>
      <c r="B47" s="1930"/>
      <c r="C47" s="1930"/>
      <c r="D47" s="1930"/>
      <c r="E47" s="1930"/>
      <c r="F47" s="1930"/>
      <c r="G47" s="1930"/>
      <c r="H47" s="1930"/>
      <c r="I47" s="1931"/>
      <c r="J47" s="1795"/>
    </row>
    <row r="48" spans="1:11">
      <c r="A48" s="1784">
        <f>'PLANILHA SEM DESON'!B24</f>
        <v>98459</v>
      </c>
      <c r="B48" s="1940" t="str">
        <f>VLOOKUP(A48,'PLANILHA SEM DESON'!$B$17:$D$1700,2,FALSE)</f>
        <v>TAPUME COM TELHA METÁLICA. AF_05/2018</v>
      </c>
      <c r="C48" s="1941"/>
      <c r="D48" s="1941"/>
      <c r="E48" s="1941"/>
      <c r="F48" s="1941"/>
      <c r="G48" s="1941"/>
      <c r="H48" s="1942"/>
      <c r="I48" s="1785" t="str">
        <f>VLOOKUP(A48,'PLANILHA SEM DESON'!$B$17:$D$1700,3,FALSE)</f>
        <v>m²</v>
      </c>
      <c r="J48" s="1786">
        <f>I59</f>
        <v>106.12</v>
      </c>
    </row>
    <row r="49" spans="1:10" ht="24">
      <c r="A49" s="1788" t="s">
        <v>2470</v>
      </c>
      <c r="B49" s="1789" t="s">
        <v>2471</v>
      </c>
      <c r="C49" s="1790" t="s">
        <v>2468</v>
      </c>
      <c r="D49" s="1791" t="s">
        <v>308</v>
      </c>
      <c r="E49" s="1790" t="s">
        <v>202</v>
      </c>
      <c r="F49" s="1792" t="s">
        <v>2472</v>
      </c>
      <c r="G49" s="1790" t="s">
        <v>2473</v>
      </c>
      <c r="H49" s="1793" t="s">
        <v>2474</v>
      </c>
      <c r="I49" s="1794" t="s">
        <v>2475</v>
      </c>
      <c r="J49" s="1795"/>
    </row>
    <row r="50" spans="1:10" ht="36">
      <c r="A50" s="1797" t="s">
        <v>2476</v>
      </c>
      <c r="B50" s="1798" t="s">
        <v>2479</v>
      </c>
      <c r="C50" s="1798">
        <v>3992</v>
      </c>
      <c r="D50" s="1799" t="s">
        <v>2489</v>
      </c>
      <c r="E50" s="1800" t="s">
        <v>160</v>
      </c>
      <c r="F50" s="1807">
        <v>1</v>
      </c>
      <c r="G50" s="1801">
        <v>29.58</v>
      </c>
      <c r="H50" s="1802">
        <f t="shared" ref="H50:H58" si="7">IF(E50="H",G50,TRUNC(G50*(1-$K$7),2))</f>
        <v>29.42</v>
      </c>
      <c r="I50" s="1803">
        <f t="shared" ref="I50:I58" si="8">TRUNC(H50*F50,2)</f>
        <v>29.42</v>
      </c>
      <c r="J50" s="1795"/>
    </row>
    <row r="51" spans="1:10" ht="36">
      <c r="A51" s="1797" t="s">
        <v>2476</v>
      </c>
      <c r="B51" s="1798" t="s">
        <v>2479</v>
      </c>
      <c r="C51" s="1798">
        <v>4433</v>
      </c>
      <c r="D51" s="1799" t="s">
        <v>2490</v>
      </c>
      <c r="E51" s="1800" t="s">
        <v>160</v>
      </c>
      <c r="F51" s="1807">
        <v>1.2273000000000001</v>
      </c>
      <c r="G51" s="1801">
        <v>24.93</v>
      </c>
      <c r="H51" s="1802">
        <f t="shared" si="7"/>
        <v>24.8</v>
      </c>
      <c r="I51" s="1803">
        <f t="shared" ref="I51:I52" si="9">TRUNC(H51*F51,2)</f>
        <v>30.43</v>
      </c>
      <c r="J51" s="1795"/>
    </row>
    <row r="52" spans="1:10" ht="24">
      <c r="A52" s="1797" t="s">
        <v>2476</v>
      </c>
      <c r="B52" s="1798" t="s">
        <v>2479</v>
      </c>
      <c r="C52" s="1798">
        <v>5061</v>
      </c>
      <c r="D52" s="1799" t="s">
        <v>2491</v>
      </c>
      <c r="E52" s="1800" t="s">
        <v>1184</v>
      </c>
      <c r="F52" s="1807">
        <v>4.2799999999999998E-2</v>
      </c>
      <c r="G52" s="1801">
        <v>25.45</v>
      </c>
      <c r="H52" s="1802">
        <f t="shared" si="7"/>
        <v>25.32</v>
      </c>
      <c r="I52" s="1803">
        <f t="shared" si="9"/>
        <v>1.08</v>
      </c>
      <c r="J52" s="1795"/>
    </row>
    <row r="53" spans="1:10" ht="36">
      <c r="A53" s="1797" t="s">
        <v>2476</v>
      </c>
      <c r="B53" s="1798" t="s">
        <v>2479</v>
      </c>
      <c r="C53" s="1798">
        <v>7243</v>
      </c>
      <c r="D53" s="1799" t="s">
        <v>2492</v>
      </c>
      <c r="E53" s="1800" t="s">
        <v>1176</v>
      </c>
      <c r="F53" s="1807">
        <v>0.58530000000000004</v>
      </c>
      <c r="G53" s="1801">
        <v>45.42</v>
      </c>
      <c r="H53" s="1802">
        <f t="shared" si="7"/>
        <v>45.18</v>
      </c>
      <c r="I53" s="1803">
        <f t="shared" si="8"/>
        <v>26.44</v>
      </c>
      <c r="J53" s="1795"/>
    </row>
    <row r="54" spans="1:10" ht="24">
      <c r="A54" s="1797" t="s">
        <v>2476</v>
      </c>
      <c r="B54" s="1798" t="s">
        <v>7</v>
      </c>
      <c r="C54" s="1798">
        <v>88239</v>
      </c>
      <c r="D54" s="1799" t="s">
        <v>454</v>
      </c>
      <c r="E54" s="1800" t="s">
        <v>411</v>
      </c>
      <c r="F54" s="1807">
        <v>0.18970000000000001</v>
      </c>
      <c r="G54" s="1801">
        <v>20.55</v>
      </c>
      <c r="H54" s="1802">
        <f t="shared" si="7"/>
        <v>20.55</v>
      </c>
      <c r="I54" s="1803">
        <f t="shared" si="8"/>
        <v>3.89</v>
      </c>
      <c r="J54" s="1795"/>
    </row>
    <row r="55" spans="1:10" ht="24">
      <c r="A55" s="1797" t="s">
        <v>2476</v>
      </c>
      <c r="B55" s="1798" t="s">
        <v>7</v>
      </c>
      <c r="C55" s="1798">
        <v>88262</v>
      </c>
      <c r="D55" s="1799" t="s">
        <v>441</v>
      </c>
      <c r="E55" s="1800" t="s">
        <v>411</v>
      </c>
      <c r="F55" s="1807">
        <v>0.56910000000000005</v>
      </c>
      <c r="G55" s="1801">
        <v>24.32</v>
      </c>
      <c r="H55" s="1802">
        <f t="shared" si="7"/>
        <v>24.32</v>
      </c>
      <c r="I55" s="1803">
        <f t="shared" si="8"/>
        <v>13.84</v>
      </c>
      <c r="J55" s="1795"/>
    </row>
    <row r="56" spans="1:10" ht="36">
      <c r="A56" s="1797" t="s">
        <v>2476</v>
      </c>
      <c r="B56" s="1798" t="s">
        <v>7</v>
      </c>
      <c r="C56" s="1798">
        <v>91692</v>
      </c>
      <c r="D56" s="1799" t="s">
        <v>2493</v>
      </c>
      <c r="E56" s="1800" t="s">
        <v>456</v>
      </c>
      <c r="F56" s="1807">
        <v>4.4000000000000003E-3</v>
      </c>
      <c r="G56" s="1801">
        <v>20.41</v>
      </c>
      <c r="H56" s="1802">
        <f t="shared" si="7"/>
        <v>20.3</v>
      </c>
      <c r="I56" s="1803">
        <f t="shared" si="8"/>
        <v>0.08</v>
      </c>
      <c r="J56" s="1795"/>
    </row>
    <row r="57" spans="1:10" ht="36">
      <c r="A57" s="1797" t="s">
        <v>2476</v>
      </c>
      <c r="B57" s="1798" t="s">
        <v>7</v>
      </c>
      <c r="C57" s="1798">
        <v>91693</v>
      </c>
      <c r="D57" s="1799" t="s">
        <v>2494</v>
      </c>
      <c r="E57" s="1800" t="s">
        <v>577</v>
      </c>
      <c r="F57" s="1807">
        <v>1.9099999999999999E-2</v>
      </c>
      <c r="G57" s="1801">
        <v>18.84</v>
      </c>
      <c r="H57" s="1802">
        <f t="shared" si="7"/>
        <v>18.739999999999998</v>
      </c>
      <c r="I57" s="1803">
        <f t="shared" si="8"/>
        <v>0.35</v>
      </c>
      <c r="J57" s="1795"/>
    </row>
    <row r="58" spans="1:10" ht="36">
      <c r="A58" s="1797" t="s">
        <v>2476</v>
      </c>
      <c r="B58" s="1798" t="s">
        <v>7</v>
      </c>
      <c r="C58" s="1798">
        <v>94974</v>
      </c>
      <c r="D58" s="1799" t="s">
        <v>2495</v>
      </c>
      <c r="E58" s="1800" t="s">
        <v>1171</v>
      </c>
      <c r="F58" s="1807">
        <v>1.1999999999999999E-3</v>
      </c>
      <c r="G58" s="1801">
        <v>499.01</v>
      </c>
      <c r="H58" s="1802">
        <f t="shared" si="7"/>
        <v>496.46</v>
      </c>
      <c r="I58" s="1803">
        <f t="shared" si="8"/>
        <v>0.59</v>
      </c>
      <c r="J58" s="1795"/>
    </row>
    <row r="59" spans="1:10">
      <c r="A59" s="1943" t="s">
        <v>2477</v>
      </c>
      <c r="B59" s="1944"/>
      <c r="C59" s="1944"/>
      <c r="D59" s="1944"/>
      <c r="E59" s="1944"/>
      <c r="F59" s="1944"/>
      <c r="G59" s="1944"/>
      <c r="H59" s="1945"/>
      <c r="I59" s="1805">
        <f>SUM(I50:I58)</f>
        <v>106.12</v>
      </c>
      <c r="J59" s="1795"/>
    </row>
    <row r="60" spans="1:10">
      <c r="A60" s="1929"/>
      <c r="B60" s="1930"/>
      <c r="C60" s="1930"/>
      <c r="D60" s="1930"/>
      <c r="E60" s="1930"/>
      <c r="F60" s="1930"/>
      <c r="G60" s="1930"/>
      <c r="H60" s="1930"/>
      <c r="I60" s="1931"/>
      <c r="J60" s="1795"/>
    </row>
    <row r="61" spans="1:10" ht="30" customHeight="1">
      <c r="A61" s="1784">
        <f>'PLANILHA SEM DESON'!B25</f>
        <v>99059</v>
      </c>
      <c r="B61" s="1940" t="str">
        <f>VLOOKUP(A61,'PLANILHA SEM DESON'!$B$17:$D$1700,2,FALSE)</f>
        <v>LOCAÇÃO CONVENCIONAL DE OBRA, UTILIZANDO GABARITO DE TÁBUAS CORRIDAS PONTALETADAS A CADA 2,00M - 2 UTILIZAÇÕES. AF_10/2018</v>
      </c>
      <c r="C61" s="1941"/>
      <c r="D61" s="1941"/>
      <c r="E61" s="1941"/>
      <c r="F61" s="1941"/>
      <c r="G61" s="1941"/>
      <c r="H61" s="1942"/>
      <c r="I61" s="1785" t="str">
        <f>VLOOKUP(A61,'PLANILHA SEM DESON'!$B$17:$D$1700,3,FALSE)</f>
        <v>m</v>
      </c>
      <c r="J61" s="1786">
        <f>I74</f>
        <v>56.810000000000009</v>
      </c>
    </row>
    <row r="62" spans="1:10" ht="24">
      <c r="A62" s="1788" t="s">
        <v>2470</v>
      </c>
      <c r="B62" s="1789" t="s">
        <v>2471</v>
      </c>
      <c r="C62" s="1790" t="s">
        <v>2468</v>
      </c>
      <c r="D62" s="1791" t="s">
        <v>308</v>
      </c>
      <c r="E62" s="1790" t="s">
        <v>202</v>
      </c>
      <c r="F62" s="1792" t="s">
        <v>2472</v>
      </c>
      <c r="G62" s="1790" t="s">
        <v>2473</v>
      </c>
      <c r="H62" s="1793" t="s">
        <v>2474</v>
      </c>
      <c r="I62" s="1794" t="s">
        <v>2475</v>
      </c>
      <c r="J62" s="1795"/>
    </row>
    <row r="63" spans="1:10" ht="36">
      <c r="A63" s="1797" t="s">
        <v>2476</v>
      </c>
      <c r="B63" s="1798" t="s">
        <v>2479</v>
      </c>
      <c r="C63" s="1798">
        <v>4417</v>
      </c>
      <c r="D63" s="1799" t="s">
        <v>2496</v>
      </c>
      <c r="E63" s="1800" t="s">
        <v>160</v>
      </c>
      <c r="F63" s="1807">
        <v>0.74450000000000005</v>
      </c>
      <c r="G63" s="1801">
        <v>6.93</v>
      </c>
      <c r="H63" s="1802">
        <f t="shared" ref="H63:H73" si="10">IF(E63="H",G63,TRUNC(G63*(1-$K$7),2))</f>
        <v>6.89</v>
      </c>
      <c r="I63" s="1803">
        <f t="shared" ref="I63:I73" si="11">TRUNC(H63*F63,2)</f>
        <v>5.12</v>
      </c>
      <c r="J63" s="1795"/>
    </row>
    <row r="64" spans="1:10" ht="36">
      <c r="A64" s="1797" t="s">
        <v>2476</v>
      </c>
      <c r="B64" s="1798" t="s">
        <v>2479</v>
      </c>
      <c r="C64" s="1798">
        <v>4433</v>
      </c>
      <c r="D64" s="1799" t="s">
        <v>2490</v>
      </c>
      <c r="E64" s="1800" t="s">
        <v>160</v>
      </c>
      <c r="F64" s="1807">
        <v>0.41249999999999998</v>
      </c>
      <c r="G64" s="1801">
        <v>24.93</v>
      </c>
      <c r="H64" s="1802">
        <f t="shared" si="10"/>
        <v>24.8</v>
      </c>
      <c r="I64" s="1803">
        <f t="shared" ref="I64:I67" si="12">TRUNC(H64*F64,2)</f>
        <v>10.23</v>
      </c>
      <c r="J64" s="1795"/>
    </row>
    <row r="65" spans="1:10">
      <c r="A65" s="1797" t="s">
        <v>2476</v>
      </c>
      <c r="B65" s="1798" t="s">
        <v>2479</v>
      </c>
      <c r="C65" s="1798">
        <v>5068</v>
      </c>
      <c r="D65" s="1799" t="s">
        <v>2497</v>
      </c>
      <c r="E65" s="1800" t="s">
        <v>1184</v>
      </c>
      <c r="F65" s="1807">
        <v>0.111</v>
      </c>
      <c r="G65" s="1801">
        <v>25.89</v>
      </c>
      <c r="H65" s="1802">
        <f t="shared" si="10"/>
        <v>25.75</v>
      </c>
      <c r="I65" s="1803">
        <f t="shared" si="12"/>
        <v>2.85</v>
      </c>
      <c r="J65" s="1795"/>
    </row>
    <row r="66" spans="1:10">
      <c r="A66" s="1797" t="s">
        <v>2476</v>
      </c>
      <c r="B66" s="1798" t="s">
        <v>2479</v>
      </c>
      <c r="C66" s="1798">
        <v>7356</v>
      </c>
      <c r="D66" s="1799" t="s">
        <v>2498</v>
      </c>
      <c r="E66" s="1800" t="s">
        <v>455</v>
      </c>
      <c r="F66" s="1807">
        <v>2.5600000000000001E-2</v>
      </c>
      <c r="G66" s="1801">
        <v>26.87</v>
      </c>
      <c r="H66" s="1802">
        <f t="shared" si="10"/>
        <v>26.73</v>
      </c>
      <c r="I66" s="1803">
        <f t="shared" si="12"/>
        <v>0.68</v>
      </c>
      <c r="J66" s="1795"/>
    </row>
    <row r="67" spans="1:10" ht="24">
      <c r="A67" s="1797" t="s">
        <v>2476</v>
      </c>
      <c r="B67" s="1798" t="s">
        <v>2479</v>
      </c>
      <c r="C67" s="1798">
        <v>10567</v>
      </c>
      <c r="D67" s="1799" t="s">
        <v>2499</v>
      </c>
      <c r="E67" s="1800" t="s">
        <v>160</v>
      </c>
      <c r="F67" s="1807">
        <v>0.55000000000000004</v>
      </c>
      <c r="G67" s="1801">
        <v>13.19</v>
      </c>
      <c r="H67" s="1802">
        <f t="shared" si="10"/>
        <v>13.12</v>
      </c>
      <c r="I67" s="1803">
        <f t="shared" si="12"/>
        <v>7.21</v>
      </c>
      <c r="J67" s="1795"/>
    </row>
    <row r="68" spans="1:10" ht="24">
      <c r="A68" s="1797" t="s">
        <v>2476</v>
      </c>
      <c r="B68" s="1798" t="s">
        <v>7</v>
      </c>
      <c r="C68" s="1798">
        <v>88239</v>
      </c>
      <c r="D68" s="1799" t="s">
        <v>454</v>
      </c>
      <c r="E68" s="1800" t="s">
        <v>411</v>
      </c>
      <c r="F68" s="1807">
        <v>0.35630000000000001</v>
      </c>
      <c r="G68" s="1801">
        <v>20.55</v>
      </c>
      <c r="H68" s="1802">
        <f t="shared" si="10"/>
        <v>20.55</v>
      </c>
      <c r="I68" s="1803">
        <f t="shared" si="11"/>
        <v>7.32</v>
      </c>
      <c r="J68" s="1795"/>
    </row>
    <row r="69" spans="1:10" ht="24">
      <c r="A69" s="1797" t="s">
        <v>2476</v>
      </c>
      <c r="B69" s="1798" t="s">
        <v>7</v>
      </c>
      <c r="C69" s="1798">
        <v>88262</v>
      </c>
      <c r="D69" s="1799" t="s">
        <v>441</v>
      </c>
      <c r="E69" s="1800" t="s">
        <v>411</v>
      </c>
      <c r="F69" s="1807">
        <v>0.71250000000000002</v>
      </c>
      <c r="G69" s="1801">
        <v>24.32</v>
      </c>
      <c r="H69" s="1802">
        <f t="shared" si="10"/>
        <v>24.32</v>
      </c>
      <c r="I69" s="1803">
        <f t="shared" si="11"/>
        <v>17.32</v>
      </c>
      <c r="J69" s="1795"/>
    </row>
    <row r="70" spans="1:10" ht="36">
      <c r="A70" s="1797" t="s">
        <v>2476</v>
      </c>
      <c r="B70" s="1798" t="s">
        <v>7</v>
      </c>
      <c r="C70" s="1798">
        <v>91692</v>
      </c>
      <c r="D70" s="1799" t="s">
        <v>2493</v>
      </c>
      <c r="E70" s="1800" t="s">
        <v>456</v>
      </c>
      <c r="F70" s="1807">
        <v>3.8999999999999998E-3</v>
      </c>
      <c r="G70" s="1801">
        <v>20.41</v>
      </c>
      <c r="H70" s="1802">
        <f t="shared" si="10"/>
        <v>20.3</v>
      </c>
      <c r="I70" s="1803">
        <f t="shared" si="11"/>
        <v>7.0000000000000007E-2</v>
      </c>
      <c r="J70" s="1795"/>
    </row>
    <row r="71" spans="1:10" ht="36">
      <c r="A71" s="1797" t="s">
        <v>2476</v>
      </c>
      <c r="B71" s="1798" t="s">
        <v>7</v>
      </c>
      <c r="C71" s="1798">
        <v>91693</v>
      </c>
      <c r="D71" s="1799" t="s">
        <v>2494</v>
      </c>
      <c r="E71" s="1800" t="s">
        <v>577</v>
      </c>
      <c r="F71" s="1807">
        <v>1.6799999999999999E-2</v>
      </c>
      <c r="G71" s="1801">
        <v>18.84</v>
      </c>
      <c r="H71" s="1802">
        <f t="shared" si="10"/>
        <v>18.739999999999998</v>
      </c>
      <c r="I71" s="1803">
        <f t="shared" si="11"/>
        <v>0.31</v>
      </c>
      <c r="J71" s="1795"/>
    </row>
    <row r="72" spans="1:10" ht="36">
      <c r="A72" s="1797" t="s">
        <v>2476</v>
      </c>
      <c r="B72" s="1798" t="s">
        <v>7</v>
      </c>
      <c r="C72" s="1798">
        <v>94974</v>
      </c>
      <c r="D72" s="1799" t="s">
        <v>2495</v>
      </c>
      <c r="E72" s="1800" t="s">
        <v>1171</v>
      </c>
      <c r="F72" s="1807">
        <v>4.5999999999999999E-3</v>
      </c>
      <c r="G72" s="1801">
        <v>499.01</v>
      </c>
      <c r="H72" s="1802">
        <f t="shared" si="10"/>
        <v>496.46</v>
      </c>
      <c r="I72" s="1803">
        <f t="shared" si="11"/>
        <v>2.2799999999999998</v>
      </c>
      <c r="J72" s="1795"/>
    </row>
    <row r="73" spans="1:10" ht="24">
      <c r="A73" s="1797" t="s">
        <v>2476</v>
      </c>
      <c r="B73" s="1798" t="s">
        <v>7</v>
      </c>
      <c r="C73" s="1798">
        <v>99062</v>
      </c>
      <c r="D73" s="1799" t="s">
        <v>2500</v>
      </c>
      <c r="E73" s="1800" t="s">
        <v>2501</v>
      </c>
      <c r="F73" s="1807">
        <v>1.5</v>
      </c>
      <c r="G73" s="1801">
        <v>2.2999999999999998</v>
      </c>
      <c r="H73" s="1802">
        <f t="shared" si="10"/>
        <v>2.2799999999999998</v>
      </c>
      <c r="I73" s="1803">
        <f t="shared" si="11"/>
        <v>3.42</v>
      </c>
      <c r="J73" s="1795"/>
    </row>
    <row r="74" spans="1:10">
      <c r="A74" s="1943" t="s">
        <v>2477</v>
      </c>
      <c r="B74" s="1944"/>
      <c r="C74" s="1944"/>
      <c r="D74" s="1944"/>
      <c r="E74" s="1944"/>
      <c r="F74" s="1944"/>
      <c r="G74" s="1944"/>
      <c r="H74" s="1945"/>
      <c r="I74" s="1805">
        <f>SUM(I63:I73)</f>
        <v>56.810000000000009</v>
      </c>
      <c r="J74" s="1795"/>
    </row>
    <row r="75" spans="1:10">
      <c r="A75" s="1929"/>
      <c r="B75" s="1930"/>
      <c r="C75" s="1930"/>
      <c r="D75" s="1930"/>
      <c r="E75" s="1930"/>
      <c r="F75" s="1930"/>
      <c r="G75" s="1930"/>
      <c r="H75" s="1930"/>
      <c r="I75" s="1931"/>
      <c r="J75" s="1795"/>
    </row>
    <row r="76" spans="1:10">
      <c r="A76" s="1784" t="str">
        <f>'PLANILHA SEM DESON'!B26</f>
        <v>COMP 03</v>
      </c>
      <c r="B76" s="1940" t="str">
        <f>VLOOKUP(A76,'PLANILHA SEM DESON'!$B$17:$D$1700,2,FALSE)</f>
        <v>ENTRADA PROVISÓRIA DE ENERGIA ELÉTRICA AÉREA TRIFÁSICA 40A EM POSTE MADEIRA</v>
      </c>
      <c r="C76" s="1941"/>
      <c r="D76" s="1941"/>
      <c r="E76" s="1941"/>
      <c r="F76" s="1941"/>
      <c r="G76" s="1941"/>
      <c r="H76" s="1942"/>
      <c r="I76" s="1785" t="str">
        <f>VLOOKUP(A76,'PLANILHA SEM DESON'!$B$17:$D$1700,3,FALSE)</f>
        <v xml:space="preserve">un </v>
      </c>
      <c r="J76" s="1786">
        <f>I97</f>
        <v>2565.5400000000004</v>
      </c>
    </row>
    <row r="77" spans="1:10" ht="24">
      <c r="A77" s="1788" t="s">
        <v>2470</v>
      </c>
      <c r="B77" s="1789" t="s">
        <v>2471</v>
      </c>
      <c r="C77" s="1790" t="s">
        <v>2468</v>
      </c>
      <c r="D77" s="1791" t="s">
        <v>308</v>
      </c>
      <c r="E77" s="1790" t="s">
        <v>202</v>
      </c>
      <c r="F77" s="1792" t="s">
        <v>2472</v>
      </c>
      <c r="G77" s="1790" t="s">
        <v>2473</v>
      </c>
      <c r="H77" s="1793" t="s">
        <v>2474</v>
      </c>
      <c r="I77" s="1794" t="s">
        <v>2475</v>
      </c>
      <c r="J77" s="1795"/>
    </row>
    <row r="78" spans="1:10">
      <c r="A78" s="1797" t="s">
        <v>2476</v>
      </c>
      <c r="B78" s="1798" t="s">
        <v>7</v>
      </c>
      <c r="C78" s="1798">
        <v>88264</v>
      </c>
      <c r="D78" s="1799" t="s">
        <v>94</v>
      </c>
      <c r="E78" s="1800" t="s">
        <v>57</v>
      </c>
      <c r="F78" s="1809">
        <v>8</v>
      </c>
      <c r="G78" s="1806">
        <v>25.54</v>
      </c>
      <c r="H78" s="1802">
        <f t="shared" ref="H78:H96" si="13">IF(E78="H",G78,TRUNC(G78*(1-$K$7),2))</f>
        <v>25.54</v>
      </c>
      <c r="I78" s="1803">
        <f t="shared" ref="I78:I96" si="14">TRUNC(H78*F78,2)</f>
        <v>204.32</v>
      </c>
      <c r="J78" s="1795"/>
    </row>
    <row r="79" spans="1:10">
      <c r="A79" s="1797" t="s">
        <v>2476</v>
      </c>
      <c r="B79" s="1798" t="s">
        <v>7</v>
      </c>
      <c r="C79" s="1798">
        <v>88316</v>
      </c>
      <c r="D79" s="1799" t="s">
        <v>66</v>
      </c>
      <c r="E79" s="1800" t="s">
        <v>57</v>
      </c>
      <c r="F79" s="1809">
        <v>8</v>
      </c>
      <c r="G79" s="1808">
        <v>19.45</v>
      </c>
      <c r="H79" s="1802">
        <f t="shared" si="13"/>
        <v>19.45</v>
      </c>
      <c r="I79" s="1803">
        <f t="shared" si="14"/>
        <v>155.6</v>
      </c>
      <c r="J79" s="1795"/>
    </row>
    <row r="80" spans="1:10" ht="24">
      <c r="A80" s="1797" t="s">
        <v>2476</v>
      </c>
      <c r="B80" s="1798" t="s">
        <v>2479</v>
      </c>
      <c r="C80" s="1798">
        <v>406</v>
      </c>
      <c r="D80" s="1799" t="s">
        <v>541</v>
      </c>
      <c r="E80" s="1800" t="s">
        <v>55</v>
      </c>
      <c r="F80" s="1810">
        <v>0.13333329999999999</v>
      </c>
      <c r="G80" s="1806">
        <v>109.18</v>
      </c>
      <c r="H80" s="1802">
        <f t="shared" si="13"/>
        <v>108.62</v>
      </c>
      <c r="I80" s="1803">
        <f t="shared" ref="I80:I91" si="15">TRUNC(H80*F80,2)</f>
        <v>14.48</v>
      </c>
      <c r="J80" s="1795"/>
    </row>
    <row r="81" spans="1:10" ht="36">
      <c r="A81" s="1797" t="s">
        <v>2476</v>
      </c>
      <c r="B81" s="1798" t="s">
        <v>2479</v>
      </c>
      <c r="C81" s="1798">
        <v>420</v>
      </c>
      <c r="D81" s="1799" t="s">
        <v>542</v>
      </c>
      <c r="E81" s="1800" t="s">
        <v>55</v>
      </c>
      <c r="F81" s="1806">
        <v>2</v>
      </c>
      <c r="G81" s="1806">
        <v>42.08</v>
      </c>
      <c r="H81" s="1802">
        <f t="shared" si="13"/>
        <v>41.86</v>
      </c>
      <c r="I81" s="1803">
        <f t="shared" si="15"/>
        <v>83.72</v>
      </c>
      <c r="J81" s="1795"/>
    </row>
    <row r="82" spans="1:10">
      <c r="A82" s="1797" t="s">
        <v>2476</v>
      </c>
      <c r="B82" s="1798" t="s">
        <v>2479</v>
      </c>
      <c r="C82" s="1798">
        <v>857</v>
      </c>
      <c r="D82" s="1799" t="s">
        <v>543</v>
      </c>
      <c r="E82" s="1800" t="s">
        <v>54</v>
      </c>
      <c r="F82" s="1806">
        <v>3</v>
      </c>
      <c r="G82" s="1806">
        <v>16.920000000000002</v>
      </c>
      <c r="H82" s="1802">
        <f t="shared" si="13"/>
        <v>16.829999999999998</v>
      </c>
      <c r="I82" s="1803">
        <f t="shared" si="15"/>
        <v>50.49</v>
      </c>
      <c r="J82" s="1795"/>
    </row>
    <row r="83" spans="1:10" ht="36">
      <c r="A83" s="1797" t="s">
        <v>2476</v>
      </c>
      <c r="B83" s="1798" t="s">
        <v>2479</v>
      </c>
      <c r="C83" s="1798">
        <v>937</v>
      </c>
      <c r="D83" s="1799" t="s">
        <v>544</v>
      </c>
      <c r="E83" s="1800" t="s">
        <v>54</v>
      </c>
      <c r="F83" s="1806">
        <v>27</v>
      </c>
      <c r="G83" s="1806">
        <v>8.64</v>
      </c>
      <c r="H83" s="1802">
        <f t="shared" si="13"/>
        <v>8.59</v>
      </c>
      <c r="I83" s="1803">
        <f t="shared" si="15"/>
        <v>231.93</v>
      </c>
      <c r="J83" s="1795"/>
    </row>
    <row r="84" spans="1:10" ht="36">
      <c r="A84" s="1797" t="s">
        <v>2476</v>
      </c>
      <c r="B84" s="1798" t="s">
        <v>2479</v>
      </c>
      <c r="C84" s="1798">
        <v>1062</v>
      </c>
      <c r="D84" s="1799" t="s">
        <v>545</v>
      </c>
      <c r="E84" s="1800" t="s">
        <v>55</v>
      </c>
      <c r="F84" s="1806">
        <v>1</v>
      </c>
      <c r="G84" s="1806">
        <v>350.88</v>
      </c>
      <c r="H84" s="1802">
        <f t="shared" si="13"/>
        <v>349.09</v>
      </c>
      <c r="I84" s="1803">
        <f t="shared" si="15"/>
        <v>349.09</v>
      </c>
      <c r="J84" s="1795"/>
    </row>
    <row r="85" spans="1:10" ht="36">
      <c r="A85" s="1797" t="s">
        <v>2476</v>
      </c>
      <c r="B85" s="1798" t="s">
        <v>2479</v>
      </c>
      <c r="C85" s="1798">
        <v>1096</v>
      </c>
      <c r="D85" s="1799" t="s">
        <v>546</v>
      </c>
      <c r="E85" s="1800" t="s">
        <v>55</v>
      </c>
      <c r="F85" s="1806">
        <v>2</v>
      </c>
      <c r="G85" s="1806">
        <v>139.65</v>
      </c>
      <c r="H85" s="1802">
        <f t="shared" si="13"/>
        <v>138.93</v>
      </c>
      <c r="I85" s="1803">
        <f t="shared" si="15"/>
        <v>277.86</v>
      </c>
      <c r="J85" s="1795"/>
    </row>
    <row r="86" spans="1:10" ht="24">
      <c r="A86" s="1797" t="s">
        <v>2476</v>
      </c>
      <c r="B86" s="1798" t="s">
        <v>2479</v>
      </c>
      <c r="C86" s="1798">
        <v>1539</v>
      </c>
      <c r="D86" s="1799" t="s">
        <v>547</v>
      </c>
      <c r="E86" s="1800" t="s">
        <v>55</v>
      </c>
      <c r="F86" s="1806">
        <v>8</v>
      </c>
      <c r="G86" s="1806">
        <v>7.41</v>
      </c>
      <c r="H86" s="1802">
        <f t="shared" si="13"/>
        <v>7.37</v>
      </c>
      <c r="I86" s="1803">
        <f t="shared" si="15"/>
        <v>58.96</v>
      </c>
      <c r="J86" s="1795"/>
    </row>
    <row r="87" spans="1:10" ht="24">
      <c r="A87" s="1797" t="s">
        <v>2476</v>
      </c>
      <c r="B87" s="1798" t="s">
        <v>2479</v>
      </c>
      <c r="C87" s="1798">
        <v>1892</v>
      </c>
      <c r="D87" s="1799" t="s">
        <v>548</v>
      </c>
      <c r="E87" s="1800" t="s">
        <v>55</v>
      </c>
      <c r="F87" s="1806">
        <v>4</v>
      </c>
      <c r="G87" s="1806">
        <v>1.73</v>
      </c>
      <c r="H87" s="1802">
        <f t="shared" si="13"/>
        <v>1.72</v>
      </c>
      <c r="I87" s="1803">
        <f t="shared" si="15"/>
        <v>6.88</v>
      </c>
      <c r="J87" s="1795"/>
    </row>
    <row r="88" spans="1:10" ht="24">
      <c r="A88" s="1797" t="s">
        <v>2476</v>
      </c>
      <c r="B88" s="1798" t="s">
        <v>2479</v>
      </c>
      <c r="C88" s="1798">
        <v>2392</v>
      </c>
      <c r="D88" s="1799" t="s">
        <v>549</v>
      </c>
      <c r="E88" s="1800" t="s">
        <v>55</v>
      </c>
      <c r="F88" s="1806">
        <v>1</v>
      </c>
      <c r="G88" s="1806">
        <v>87.2</v>
      </c>
      <c r="H88" s="1802">
        <f t="shared" si="13"/>
        <v>86.75</v>
      </c>
      <c r="I88" s="1803">
        <f t="shared" si="15"/>
        <v>86.75</v>
      </c>
      <c r="J88" s="1795"/>
    </row>
    <row r="89" spans="1:10" ht="24">
      <c r="A89" s="1797" t="s">
        <v>2476</v>
      </c>
      <c r="B89" s="1798" t="s">
        <v>2479</v>
      </c>
      <c r="C89" s="1798">
        <v>2685</v>
      </c>
      <c r="D89" s="1799" t="s">
        <v>550</v>
      </c>
      <c r="E89" s="1800" t="s">
        <v>54</v>
      </c>
      <c r="F89" s="1806">
        <v>8</v>
      </c>
      <c r="G89" s="1806">
        <v>7.57</v>
      </c>
      <c r="H89" s="1802">
        <f t="shared" si="13"/>
        <v>7.53</v>
      </c>
      <c r="I89" s="1803">
        <f t="shared" si="15"/>
        <v>60.24</v>
      </c>
      <c r="J89" s="1795"/>
    </row>
    <row r="90" spans="1:10" ht="24">
      <c r="A90" s="1797" t="s">
        <v>2476</v>
      </c>
      <c r="B90" s="1798" t="s">
        <v>2479</v>
      </c>
      <c r="C90" s="1798">
        <v>2731</v>
      </c>
      <c r="D90" s="1799" t="s">
        <v>551</v>
      </c>
      <c r="E90" s="1800" t="s">
        <v>54</v>
      </c>
      <c r="F90" s="1806">
        <v>7.96</v>
      </c>
      <c r="G90" s="1806">
        <v>111.49</v>
      </c>
      <c r="H90" s="1802">
        <f t="shared" si="13"/>
        <v>110.92</v>
      </c>
      <c r="I90" s="1803">
        <f t="shared" si="15"/>
        <v>882.92</v>
      </c>
      <c r="J90" s="1795"/>
    </row>
    <row r="91" spans="1:10" ht="36">
      <c r="A91" s="1797" t="s">
        <v>2476</v>
      </c>
      <c r="B91" s="1798" t="s">
        <v>2479</v>
      </c>
      <c r="C91" s="1798">
        <v>3379</v>
      </c>
      <c r="D91" s="1799" t="s">
        <v>2225</v>
      </c>
      <c r="E91" s="1800" t="s">
        <v>55</v>
      </c>
      <c r="F91" s="1806">
        <v>1</v>
      </c>
      <c r="G91" s="1806">
        <v>64.59</v>
      </c>
      <c r="H91" s="1802">
        <f t="shared" si="13"/>
        <v>64.260000000000005</v>
      </c>
      <c r="I91" s="1803">
        <f t="shared" si="15"/>
        <v>64.260000000000005</v>
      </c>
      <c r="J91" s="1795"/>
    </row>
    <row r="92" spans="1:10" ht="36">
      <c r="A92" s="1797" t="s">
        <v>2476</v>
      </c>
      <c r="B92" s="1798" t="s">
        <v>2479</v>
      </c>
      <c r="C92" s="1798">
        <v>4346</v>
      </c>
      <c r="D92" s="1799" t="s">
        <v>552</v>
      </c>
      <c r="E92" s="1800" t="s">
        <v>55</v>
      </c>
      <c r="F92" s="1806">
        <v>2</v>
      </c>
      <c r="G92" s="1806">
        <v>11.29</v>
      </c>
      <c r="H92" s="1802">
        <f t="shared" si="13"/>
        <v>11.23</v>
      </c>
      <c r="I92" s="1803">
        <f t="shared" si="14"/>
        <v>22.46</v>
      </c>
      <c r="J92" s="1795"/>
    </row>
    <row r="93" spans="1:10" ht="36">
      <c r="A93" s="1797" t="s">
        <v>2476</v>
      </c>
      <c r="B93" s="1798" t="s">
        <v>2479</v>
      </c>
      <c r="C93" s="1798">
        <v>11267</v>
      </c>
      <c r="D93" s="1799" t="s">
        <v>553</v>
      </c>
      <c r="E93" s="1800" t="s">
        <v>55</v>
      </c>
      <c r="F93" s="1806">
        <v>2</v>
      </c>
      <c r="G93" s="1806">
        <v>1.1100000000000001</v>
      </c>
      <c r="H93" s="1802">
        <f t="shared" si="13"/>
        <v>1.1000000000000001</v>
      </c>
      <c r="I93" s="1803">
        <f t="shared" si="14"/>
        <v>2.2000000000000002</v>
      </c>
      <c r="J93" s="1795"/>
    </row>
    <row r="94" spans="1:10" ht="24">
      <c r="A94" s="1797" t="s">
        <v>2476</v>
      </c>
      <c r="B94" s="1798" t="s">
        <v>2479</v>
      </c>
      <c r="C94" s="1798">
        <v>12034</v>
      </c>
      <c r="D94" s="1799" t="s">
        <v>554</v>
      </c>
      <c r="E94" s="1800" t="s">
        <v>55</v>
      </c>
      <c r="F94" s="1806">
        <v>2</v>
      </c>
      <c r="G94" s="1806">
        <v>4.6900000000000004</v>
      </c>
      <c r="H94" s="1802">
        <f t="shared" si="13"/>
        <v>4.66</v>
      </c>
      <c r="I94" s="1803">
        <f t="shared" si="14"/>
        <v>9.32</v>
      </c>
      <c r="J94" s="1795"/>
    </row>
    <row r="95" spans="1:10" ht="24">
      <c r="A95" s="1797" t="s">
        <v>2476</v>
      </c>
      <c r="B95" s="1798" t="s">
        <v>2479</v>
      </c>
      <c r="C95" s="1798">
        <v>39176</v>
      </c>
      <c r="D95" s="1799" t="s">
        <v>555</v>
      </c>
      <c r="E95" s="1800" t="s">
        <v>55</v>
      </c>
      <c r="F95" s="1806">
        <v>2</v>
      </c>
      <c r="G95" s="1806">
        <v>1.1499999999999999</v>
      </c>
      <c r="H95" s="1802">
        <f t="shared" si="13"/>
        <v>1.1399999999999999</v>
      </c>
      <c r="I95" s="1803">
        <f t="shared" si="14"/>
        <v>2.2799999999999998</v>
      </c>
      <c r="J95" s="1795"/>
    </row>
    <row r="96" spans="1:10" ht="24">
      <c r="A96" s="1797" t="s">
        <v>2476</v>
      </c>
      <c r="B96" s="1798" t="s">
        <v>2479</v>
      </c>
      <c r="C96" s="1798">
        <v>39210</v>
      </c>
      <c r="D96" s="1799" t="s">
        <v>556</v>
      </c>
      <c r="E96" s="1800" t="s">
        <v>55</v>
      </c>
      <c r="F96" s="1806">
        <v>2</v>
      </c>
      <c r="G96" s="1806">
        <v>0.9</v>
      </c>
      <c r="H96" s="1802">
        <f t="shared" si="13"/>
        <v>0.89</v>
      </c>
      <c r="I96" s="1803">
        <f t="shared" si="14"/>
        <v>1.78</v>
      </c>
      <c r="J96" s="1795"/>
    </row>
    <row r="97" spans="1:10">
      <c r="A97" s="1943" t="s">
        <v>2477</v>
      </c>
      <c r="B97" s="1944"/>
      <c r="C97" s="1944"/>
      <c r="D97" s="1944"/>
      <c r="E97" s="1944"/>
      <c r="F97" s="1944"/>
      <c r="G97" s="1944"/>
      <c r="H97" s="1945"/>
      <c r="I97" s="1805">
        <f>SUM(I78:I96)</f>
        <v>2565.5400000000004</v>
      </c>
      <c r="J97" s="1795"/>
    </row>
    <row r="98" spans="1:10">
      <c r="A98" s="1929"/>
      <c r="B98" s="1930"/>
      <c r="C98" s="1930"/>
      <c r="D98" s="1930"/>
      <c r="E98" s="1930"/>
      <c r="F98" s="1930"/>
      <c r="G98" s="1930"/>
      <c r="H98" s="1930"/>
      <c r="I98" s="1931"/>
      <c r="J98" s="1795"/>
    </row>
    <row r="99" spans="1:10" ht="29.25" customHeight="1">
      <c r="A99" s="1784">
        <f>'PLANILHA SEM DESON'!B27</f>
        <v>93212</v>
      </c>
      <c r="B99" s="1940" t="str">
        <f>VLOOKUP(A99,'PLANILHA SEM DESON'!$B$17:$D$1700,2,FALSE)</f>
        <v>EXECUÇÃO DE SANITÁRIO E VESTIÁRIO EM CANTEIRO DE OBRA EM CHAPA DE MADEIRA COMPENSADA, NÃO INCLUSO MOBILIÁRIO. AF_02/2016</v>
      </c>
      <c r="C99" s="1941"/>
      <c r="D99" s="1941"/>
      <c r="E99" s="1941"/>
      <c r="F99" s="1941"/>
      <c r="G99" s="1941"/>
      <c r="H99" s="1942"/>
      <c r="I99" s="1785" t="str">
        <f>VLOOKUP(A99,'PLANILHA SEM DESON'!$B$17:$D$1700,3,FALSE)</f>
        <v>m²</v>
      </c>
      <c r="J99" s="1786">
        <f>I177</f>
        <v>1064.9800000000002</v>
      </c>
    </row>
    <row r="100" spans="1:10" ht="24">
      <c r="A100" s="1788" t="s">
        <v>2470</v>
      </c>
      <c r="B100" s="1789" t="s">
        <v>2471</v>
      </c>
      <c r="C100" s="1790" t="s">
        <v>2468</v>
      </c>
      <c r="D100" s="1791" t="s">
        <v>308</v>
      </c>
      <c r="E100" s="1790" t="s">
        <v>202</v>
      </c>
      <c r="F100" s="1792" t="s">
        <v>2472</v>
      </c>
      <c r="G100" s="1790" t="s">
        <v>2473</v>
      </c>
      <c r="H100" s="1793" t="s">
        <v>2474</v>
      </c>
      <c r="I100" s="1794" t="s">
        <v>2475</v>
      </c>
      <c r="J100" s="1795"/>
    </row>
    <row r="101" spans="1:10" ht="60">
      <c r="A101" s="1797" t="s">
        <v>2476</v>
      </c>
      <c r="B101" s="1798" t="s">
        <v>2479</v>
      </c>
      <c r="C101" s="1798">
        <v>3080</v>
      </c>
      <c r="D101" s="1799" t="s">
        <v>2502</v>
      </c>
      <c r="E101" s="1800" t="s">
        <v>2503</v>
      </c>
      <c r="F101" s="1807">
        <v>3.4799999999999998E-2</v>
      </c>
      <c r="G101" s="1801">
        <v>79.900000000000006</v>
      </c>
      <c r="H101" s="1802">
        <f t="shared" ref="H101:H132" si="16">IF(E101="H",G101,TRUNC(G101*(1-$K$7),2))</f>
        <v>79.489999999999995</v>
      </c>
      <c r="I101" s="1803">
        <f t="shared" ref="I101:I176" si="17">TRUNC(H101*F101,2)</f>
        <v>2.76</v>
      </c>
      <c r="J101" s="1795"/>
    </row>
    <row r="102" spans="1:10" ht="24">
      <c r="A102" s="1797" t="s">
        <v>2476</v>
      </c>
      <c r="B102" s="1798" t="s">
        <v>2479</v>
      </c>
      <c r="C102" s="1798">
        <v>3659</v>
      </c>
      <c r="D102" s="1799" t="s">
        <v>2504</v>
      </c>
      <c r="E102" s="1800" t="s">
        <v>2501</v>
      </c>
      <c r="F102" s="1807">
        <v>1.7399999999999999E-2</v>
      </c>
      <c r="G102" s="1801">
        <v>23.15</v>
      </c>
      <c r="H102" s="1802">
        <f t="shared" si="16"/>
        <v>23.03</v>
      </c>
      <c r="I102" s="1803">
        <f t="shared" ref="I102:I165" si="18">TRUNC(H102*F102,2)</f>
        <v>0.4</v>
      </c>
      <c r="J102" s="1795"/>
    </row>
    <row r="103" spans="1:10" ht="24">
      <c r="A103" s="1797" t="s">
        <v>2476</v>
      </c>
      <c r="B103" s="1798" t="s">
        <v>2479</v>
      </c>
      <c r="C103" s="1798">
        <v>3670</v>
      </c>
      <c r="D103" s="1799" t="s">
        <v>2505</v>
      </c>
      <c r="E103" s="1800" t="s">
        <v>2501</v>
      </c>
      <c r="F103" s="1807">
        <v>3.4799999999999998E-2</v>
      </c>
      <c r="G103" s="1801">
        <v>30.8</v>
      </c>
      <c r="H103" s="1802">
        <f t="shared" si="16"/>
        <v>30.64</v>
      </c>
      <c r="I103" s="1803">
        <f t="shared" si="18"/>
        <v>1.06</v>
      </c>
      <c r="J103" s="1795"/>
    </row>
    <row r="104" spans="1:10" ht="36">
      <c r="A104" s="1797" t="s">
        <v>2476</v>
      </c>
      <c r="B104" s="1798" t="s">
        <v>2479</v>
      </c>
      <c r="C104" s="1798">
        <v>11587</v>
      </c>
      <c r="D104" s="1799" t="s">
        <v>2506</v>
      </c>
      <c r="E104" s="1800" t="s">
        <v>1176</v>
      </c>
      <c r="F104" s="1807">
        <v>0.97619999999999996</v>
      </c>
      <c r="G104" s="1801">
        <v>96.6</v>
      </c>
      <c r="H104" s="1802">
        <f t="shared" si="16"/>
        <v>96.1</v>
      </c>
      <c r="I104" s="1803">
        <f t="shared" si="18"/>
        <v>93.81</v>
      </c>
      <c r="J104" s="1795"/>
    </row>
    <row r="105" spans="1:10" ht="24">
      <c r="A105" s="1797" t="s">
        <v>2476</v>
      </c>
      <c r="B105" s="1798" t="s">
        <v>2479</v>
      </c>
      <c r="C105" s="1798">
        <v>11697</v>
      </c>
      <c r="D105" s="1799" t="s">
        <v>2507</v>
      </c>
      <c r="E105" s="1800" t="s">
        <v>2501</v>
      </c>
      <c r="F105" s="1807">
        <v>1.7399999999999999E-2</v>
      </c>
      <c r="G105" s="1801">
        <v>882.72</v>
      </c>
      <c r="H105" s="1802">
        <f t="shared" si="16"/>
        <v>878.21</v>
      </c>
      <c r="I105" s="1803">
        <f t="shared" si="18"/>
        <v>15.28</v>
      </c>
      <c r="J105" s="1795"/>
    </row>
    <row r="106" spans="1:10" ht="24">
      <c r="A106" s="1797" t="s">
        <v>2476</v>
      </c>
      <c r="B106" s="1798" t="s">
        <v>2479</v>
      </c>
      <c r="C106" s="1798">
        <v>11712</v>
      </c>
      <c r="D106" s="1799" t="s">
        <v>2508</v>
      </c>
      <c r="E106" s="1800" t="s">
        <v>2501</v>
      </c>
      <c r="F106" s="1807">
        <v>3.4799999999999998E-2</v>
      </c>
      <c r="G106" s="1801">
        <v>49.95</v>
      </c>
      <c r="H106" s="1802">
        <f t="shared" si="16"/>
        <v>49.69</v>
      </c>
      <c r="I106" s="1803">
        <f t="shared" si="18"/>
        <v>1.72</v>
      </c>
      <c r="J106" s="1795"/>
    </row>
    <row r="107" spans="1:10" ht="36">
      <c r="A107" s="1797" t="s">
        <v>2476</v>
      </c>
      <c r="B107" s="1798" t="s">
        <v>2479</v>
      </c>
      <c r="C107" s="1798">
        <v>21112</v>
      </c>
      <c r="D107" s="1799" t="s">
        <v>2509</v>
      </c>
      <c r="E107" s="1800" t="s">
        <v>2501</v>
      </c>
      <c r="F107" s="1807">
        <v>1.7399999999999999E-2</v>
      </c>
      <c r="G107" s="1801">
        <v>135.06</v>
      </c>
      <c r="H107" s="1802">
        <f t="shared" si="16"/>
        <v>134.37</v>
      </c>
      <c r="I107" s="1803">
        <f t="shared" si="18"/>
        <v>2.33</v>
      </c>
      <c r="J107" s="1795"/>
    </row>
    <row r="108" spans="1:10" ht="36">
      <c r="A108" s="1797" t="s">
        <v>2476</v>
      </c>
      <c r="B108" s="1798" t="s">
        <v>2479</v>
      </c>
      <c r="C108" s="1798">
        <v>43777</v>
      </c>
      <c r="D108" s="1799" t="s">
        <v>2510</v>
      </c>
      <c r="E108" s="1800" t="s">
        <v>2511</v>
      </c>
      <c r="F108" s="1807">
        <v>4.4761799999999997E-2</v>
      </c>
      <c r="G108" s="1801">
        <v>289.63</v>
      </c>
      <c r="H108" s="1802">
        <f t="shared" si="16"/>
        <v>288.14999999999998</v>
      </c>
      <c r="I108" s="1803">
        <f t="shared" si="18"/>
        <v>12.89</v>
      </c>
      <c r="J108" s="1795"/>
    </row>
    <row r="109" spans="1:10" ht="36">
      <c r="A109" s="1797" t="s">
        <v>2476</v>
      </c>
      <c r="B109" s="1798" t="s">
        <v>7</v>
      </c>
      <c r="C109" s="1798">
        <v>86888</v>
      </c>
      <c r="D109" s="1799" t="s">
        <v>2512</v>
      </c>
      <c r="E109" s="1800" t="s">
        <v>2501</v>
      </c>
      <c r="F109" s="1807">
        <v>5.2200000000000003E-2</v>
      </c>
      <c r="G109" s="1801">
        <v>484.71</v>
      </c>
      <c r="H109" s="1802">
        <f t="shared" si="16"/>
        <v>482.23</v>
      </c>
      <c r="I109" s="1803">
        <f t="shared" si="18"/>
        <v>25.17</v>
      </c>
      <c r="J109" s="1795"/>
    </row>
    <row r="110" spans="1:10" ht="60">
      <c r="A110" s="1797" t="s">
        <v>2476</v>
      </c>
      <c r="B110" s="1798" t="s">
        <v>7</v>
      </c>
      <c r="C110" s="1798">
        <v>86943</v>
      </c>
      <c r="D110" s="1799" t="s">
        <v>1828</v>
      </c>
      <c r="E110" s="1800" t="s">
        <v>2501</v>
      </c>
      <c r="F110" s="1807">
        <v>5.2200000000000003E-2</v>
      </c>
      <c r="G110" s="1801">
        <v>262.18</v>
      </c>
      <c r="H110" s="1802">
        <f t="shared" si="16"/>
        <v>260.83999999999997</v>
      </c>
      <c r="I110" s="1803">
        <f t="shared" si="18"/>
        <v>13.61</v>
      </c>
      <c r="J110" s="1795"/>
    </row>
    <row r="111" spans="1:10" ht="60">
      <c r="A111" s="1797" t="s">
        <v>2476</v>
      </c>
      <c r="B111" s="1798" t="s">
        <v>7</v>
      </c>
      <c r="C111" s="1798">
        <v>87548</v>
      </c>
      <c r="D111" s="1799" t="s">
        <v>2513</v>
      </c>
      <c r="E111" s="1800" t="s">
        <v>1176</v>
      </c>
      <c r="F111" s="1807">
        <v>0.18940000000000001</v>
      </c>
      <c r="G111" s="1801">
        <v>26.03</v>
      </c>
      <c r="H111" s="1802">
        <f t="shared" si="16"/>
        <v>25.89</v>
      </c>
      <c r="I111" s="1803">
        <f t="shared" si="18"/>
        <v>4.9000000000000004</v>
      </c>
      <c r="J111" s="1795"/>
    </row>
    <row r="112" spans="1:10" ht="48">
      <c r="A112" s="1797" t="s">
        <v>2476</v>
      </c>
      <c r="B112" s="1798" t="s">
        <v>7</v>
      </c>
      <c r="C112" s="1798">
        <v>87777</v>
      </c>
      <c r="D112" s="1799" t="s">
        <v>2514</v>
      </c>
      <c r="E112" s="1800" t="s">
        <v>1176</v>
      </c>
      <c r="F112" s="1807">
        <v>0.1681</v>
      </c>
      <c r="G112" s="1801">
        <v>55.64</v>
      </c>
      <c r="H112" s="1802">
        <f t="shared" si="16"/>
        <v>55.35</v>
      </c>
      <c r="I112" s="1803">
        <f t="shared" si="18"/>
        <v>9.3000000000000007</v>
      </c>
      <c r="J112" s="1795"/>
    </row>
    <row r="113" spans="1:10" ht="36">
      <c r="A113" s="1797" t="s">
        <v>2476</v>
      </c>
      <c r="B113" s="1798" t="s">
        <v>7</v>
      </c>
      <c r="C113" s="1798">
        <v>87885</v>
      </c>
      <c r="D113" s="1799" t="s">
        <v>2515</v>
      </c>
      <c r="E113" s="1800" t="s">
        <v>1176</v>
      </c>
      <c r="F113" s="1807">
        <v>0.76790000000000003</v>
      </c>
      <c r="G113" s="1801">
        <v>11.11</v>
      </c>
      <c r="H113" s="1802">
        <f t="shared" si="16"/>
        <v>11.05</v>
      </c>
      <c r="I113" s="1803">
        <f t="shared" si="18"/>
        <v>8.48</v>
      </c>
      <c r="J113" s="1795"/>
    </row>
    <row r="114" spans="1:10" ht="60">
      <c r="A114" s="1797" t="s">
        <v>2476</v>
      </c>
      <c r="B114" s="1798" t="s">
        <v>7</v>
      </c>
      <c r="C114" s="1798">
        <v>87903</v>
      </c>
      <c r="D114" s="1799" t="s">
        <v>2516</v>
      </c>
      <c r="E114" s="1800" t="s">
        <v>1176</v>
      </c>
      <c r="F114" s="1807">
        <v>0.1681</v>
      </c>
      <c r="G114" s="1801">
        <v>13.21</v>
      </c>
      <c r="H114" s="1802">
        <f t="shared" si="16"/>
        <v>13.14</v>
      </c>
      <c r="I114" s="1803">
        <f t="shared" si="18"/>
        <v>2.2000000000000002</v>
      </c>
      <c r="J114" s="1795"/>
    </row>
    <row r="115" spans="1:10" ht="24">
      <c r="A115" s="1797" t="s">
        <v>2476</v>
      </c>
      <c r="B115" s="1798" t="s">
        <v>7</v>
      </c>
      <c r="C115" s="1798">
        <v>88489</v>
      </c>
      <c r="D115" s="1799" t="s">
        <v>117</v>
      </c>
      <c r="E115" s="1800" t="s">
        <v>1176</v>
      </c>
      <c r="F115" s="1807">
        <v>2.4441999999999999</v>
      </c>
      <c r="G115" s="1801">
        <v>14.99</v>
      </c>
      <c r="H115" s="1802">
        <f t="shared" si="16"/>
        <v>14.91</v>
      </c>
      <c r="I115" s="1803">
        <f t="shared" si="18"/>
        <v>36.44</v>
      </c>
      <c r="J115" s="1795"/>
    </row>
    <row r="116" spans="1:10" ht="60">
      <c r="A116" s="1797" t="s">
        <v>2476</v>
      </c>
      <c r="B116" s="1798" t="s">
        <v>7</v>
      </c>
      <c r="C116" s="1798">
        <v>89171</v>
      </c>
      <c r="D116" s="1799" t="s">
        <v>2517</v>
      </c>
      <c r="E116" s="1800" t="s">
        <v>1176</v>
      </c>
      <c r="F116" s="1807">
        <v>0.46279999999999999</v>
      </c>
      <c r="G116" s="1801">
        <v>54.07</v>
      </c>
      <c r="H116" s="1802">
        <f t="shared" si="16"/>
        <v>53.79</v>
      </c>
      <c r="I116" s="1803">
        <f t="shared" si="18"/>
        <v>24.89</v>
      </c>
      <c r="J116" s="1795"/>
    </row>
    <row r="117" spans="1:10" ht="72">
      <c r="A117" s="1797" t="s">
        <v>2476</v>
      </c>
      <c r="B117" s="1798" t="s">
        <v>7</v>
      </c>
      <c r="C117" s="1798">
        <v>89173</v>
      </c>
      <c r="D117" s="1799" t="s">
        <v>118</v>
      </c>
      <c r="E117" s="1800" t="s">
        <v>1176</v>
      </c>
      <c r="F117" s="1807">
        <v>0.76790000000000003</v>
      </c>
      <c r="G117" s="1801">
        <v>36.79</v>
      </c>
      <c r="H117" s="1802">
        <f t="shared" si="16"/>
        <v>36.6</v>
      </c>
      <c r="I117" s="1803">
        <f t="shared" si="18"/>
        <v>28.1</v>
      </c>
      <c r="J117" s="1795"/>
    </row>
    <row r="118" spans="1:10" ht="48">
      <c r="A118" s="1797" t="s">
        <v>2476</v>
      </c>
      <c r="B118" s="1798" t="s">
        <v>7</v>
      </c>
      <c r="C118" s="1798">
        <v>89709</v>
      </c>
      <c r="D118" s="1799" t="s">
        <v>2518</v>
      </c>
      <c r="E118" s="1800" t="s">
        <v>2501</v>
      </c>
      <c r="F118" s="1807">
        <v>6.9599999999999995E-2</v>
      </c>
      <c r="G118" s="1801">
        <v>21.9</v>
      </c>
      <c r="H118" s="1802">
        <f t="shared" si="16"/>
        <v>21.78</v>
      </c>
      <c r="I118" s="1803">
        <f t="shared" si="18"/>
        <v>1.51</v>
      </c>
      <c r="J118" s="1795"/>
    </row>
    <row r="119" spans="1:10" ht="36">
      <c r="A119" s="1797" t="s">
        <v>2476</v>
      </c>
      <c r="B119" s="1798" t="s">
        <v>7</v>
      </c>
      <c r="C119" s="1798">
        <v>89711</v>
      </c>
      <c r="D119" s="1799" t="s">
        <v>2519</v>
      </c>
      <c r="E119" s="1800" t="s">
        <v>160</v>
      </c>
      <c r="F119" s="1807">
        <v>0.16309999999999999</v>
      </c>
      <c r="G119" s="1801">
        <v>21.07</v>
      </c>
      <c r="H119" s="1802">
        <f t="shared" si="16"/>
        <v>20.96</v>
      </c>
      <c r="I119" s="1803">
        <f t="shared" si="18"/>
        <v>3.41</v>
      </c>
      <c r="J119" s="1795"/>
    </row>
    <row r="120" spans="1:10" ht="36">
      <c r="A120" s="1797" t="s">
        <v>2476</v>
      </c>
      <c r="B120" s="1798" t="s">
        <v>7</v>
      </c>
      <c r="C120" s="1798">
        <v>89712</v>
      </c>
      <c r="D120" s="1799" t="s">
        <v>2520</v>
      </c>
      <c r="E120" s="1800" t="s">
        <v>160</v>
      </c>
      <c r="F120" s="1807">
        <v>0.2235</v>
      </c>
      <c r="G120" s="1801">
        <v>27.77</v>
      </c>
      <c r="H120" s="1802">
        <f t="shared" si="16"/>
        <v>27.62</v>
      </c>
      <c r="I120" s="1803">
        <f t="shared" si="18"/>
        <v>6.17</v>
      </c>
      <c r="J120" s="1795"/>
    </row>
    <row r="121" spans="1:10" ht="36">
      <c r="A121" s="1797" t="s">
        <v>2476</v>
      </c>
      <c r="B121" s="1798" t="s">
        <v>7</v>
      </c>
      <c r="C121" s="1798">
        <v>89714</v>
      </c>
      <c r="D121" s="1799" t="s">
        <v>2521</v>
      </c>
      <c r="E121" s="1800" t="s">
        <v>160</v>
      </c>
      <c r="F121" s="1807">
        <v>4.7E-2</v>
      </c>
      <c r="G121" s="1801">
        <v>41.92</v>
      </c>
      <c r="H121" s="1802">
        <f t="shared" si="16"/>
        <v>41.7</v>
      </c>
      <c r="I121" s="1803">
        <f t="shared" si="18"/>
        <v>1.95</v>
      </c>
      <c r="J121" s="1795"/>
    </row>
    <row r="122" spans="1:10" ht="48">
      <c r="A122" s="1797" t="s">
        <v>2476</v>
      </c>
      <c r="B122" s="1798" t="s">
        <v>7</v>
      </c>
      <c r="C122" s="1798">
        <v>89724</v>
      </c>
      <c r="D122" s="1799" t="s">
        <v>2522</v>
      </c>
      <c r="E122" s="1800" t="s">
        <v>2501</v>
      </c>
      <c r="F122" s="1807">
        <v>0.17399999999999999</v>
      </c>
      <c r="G122" s="1801">
        <v>12.96</v>
      </c>
      <c r="H122" s="1802">
        <f t="shared" si="16"/>
        <v>12.89</v>
      </c>
      <c r="I122" s="1803">
        <f t="shared" si="18"/>
        <v>2.2400000000000002</v>
      </c>
      <c r="J122" s="1795"/>
    </row>
    <row r="123" spans="1:10" ht="48">
      <c r="A123" s="1797" t="s">
        <v>2476</v>
      </c>
      <c r="B123" s="1798" t="s">
        <v>7</v>
      </c>
      <c r="C123" s="1798">
        <v>89731</v>
      </c>
      <c r="D123" s="1799" t="s">
        <v>2523</v>
      </c>
      <c r="E123" s="1800" t="s">
        <v>2501</v>
      </c>
      <c r="F123" s="1807">
        <v>1.7399999999999999E-2</v>
      </c>
      <c r="G123" s="1801">
        <v>15.29</v>
      </c>
      <c r="H123" s="1802">
        <f t="shared" si="16"/>
        <v>15.21</v>
      </c>
      <c r="I123" s="1803">
        <f t="shared" si="18"/>
        <v>0.26</v>
      </c>
      <c r="J123" s="1795"/>
    </row>
    <row r="124" spans="1:10" ht="48">
      <c r="A124" s="1797" t="s">
        <v>2476</v>
      </c>
      <c r="B124" s="1798" t="s">
        <v>7</v>
      </c>
      <c r="C124" s="1798">
        <v>89748</v>
      </c>
      <c r="D124" s="1799" t="s">
        <v>2524</v>
      </c>
      <c r="E124" s="1800" t="s">
        <v>2501</v>
      </c>
      <c r="F124" s="1807">
        <v>5.2200000000000003E-2</v>
      </c>
      <c r="G124" s="1801">
        <v>50.6</v>
      </c>
      <c r="H124" s="1802">
        <f t="shared" si="16"/>
        <v>50.34</v>
      </c>
      <c r="I124" s="1803">
        <f t="shared" si="18"/>
        <v>2.62</v>
      </c>
      <c r="J124" s="1795"/>
    </row>
    <row r="125" spans="1:10" ht="48">
      <c r="A125" s="1797" t="s">
        <v>2476</v>
      </c>
      <c r="B125" s="1798" t="s">
        <v>7</v>
      </c>
      <c r="C125" s="1798">
        <v>89784</v>
      </c>
      <c r="D125" s="1799" t="s">
        <v>2525</v>
      </c>
      <c r="E125" s="1800" t="s">
        <v>2501</v>
      </c>
      <c r="F125" s="1807">
        <v>1.7399999999999999E-2</v>
      </c>
      <c r="G125" s="1801">
        <v>26.64</v>
      </c>
      <c r="H125" s="1802">
        <f t="shared" si="16"/>
        <v>26.5</v>
      </c>
      <c r="I125" s="1803">
        <f t="shared" si="18"/>
        <v>0.46</v>
      </c>
      <c r="J125" s="1795"/>
    </row>
    <row r="126" spans="1:10" ht="48">
      <c r="A126" s="1797" t="s">
        <v>2476</v>
      </c>
      <c r="B126" s="1798" t="s">
        <v>7</v>
      </c>
      <c r="C126" s="1798">
        <v>89957</v>
      </c>
      <c r="D126" s="1799" t="s">
        <v>2526</v>
      </c>
      <c r="E126" s="1800" t="s">
        <v>2501</v>
      </c>
      <c r="F126" s="1807">
        <v>0.17399999999999999</v>
      </c>
      <c r="G126" s="1801">
        <v>145.26</v>
      </c>
      <c r="H126" s="1802">
        <f t="shared" si="16"/>
        <v>144.51</v>
      </c>
      <c r="I126" s="1803">
        <f t="shared" si="18"/>
        <v>25.14</v>
      </c>
      <c r="J126" s="1795"/>
    </row>
    <row r="127" spans="1:10" ht="48">
      <c r="A127" s="1797" t="s">
        <v>2476</v>
      </c>
      <c r="B127" s="1798" t="s">
        <v>7</v>
      </c>
      <c r="C127" s="1798">
        <v>89970</v>
      </c>
      <c r="D127" s="1799" t="s">
        <v>2527</v>
      </c>
      <c r="E127" s="1800" t="s">
        <v>2501</v>
      </c>
      <c r="F127" s="1807">
        <v>6.9599999999999995E-2</v>
      </c>
      <c r="G127" s="1801">
        <v>43.42</v>
      </c>
      <c r="H127" s="1802">
        <f t="shared" si="16"/>
        <v>43.19</v>
      </c>
      <c r="I127" s="1803">
        <f t="shared" si="18"/>
        <v>3</v>
      </c>
      <c r="J127" s="1795"/>
    </row>
    <row r="128" spans="1:10" ht="36">
      <c r="A128" s="1797" t="s">
        <v>2476</v>
      </c>
      <c r="B128" s="1798" t="s">
        <v>7</v>
      </c>
      <c r="C128" s="1798">
        <v>90443</v>
      </c>
      <c r="D128" s="1799" t="s">
        <v>2528</v>
      </c>
      <c r="E128" s="1800" t="s">
        <v>160</v>
      </c>
      <c r="F128" s="1807">
        <v>7.22E-2</v>
      </c>
      <c r="G128" s="1801">
        <v>12.47</v>
      </c>
      <c r="H128" s="1802">
        <f t="shared" si="16"/>
        <v>12.4</v>
      </c>
      <c r="I128" s="1803">
        <f t="shared" si="18"/>
        <v>0.89</v>
      </c>
      <c r="J128" s="1795"/>
    </row>
    <row r="129" spans="1:10" ht="36">
      <c r="A129" s="1797" t="s">
        <v>2476</v>
      </c>
      <c r="B129" s="1798" t="s">
        <v>7</v>
      </c>
      <c r="C129" s="1798">
        <v>90466</v>
      </c>
      <c r="D129" s="1799" t="s">
        <v>2529</v>
      </c>
      <c r="E129" s="1800" t="s">
        <v>160</v>
      </c>
      <c r="F129" s="1807">
        <v>7.22E-2</v>
      </c>
      <c r="G129" s="1801">
        <v>12.99</v>
      </c>
      <c r="H129" s="1802">
        <f t="shared" si="16"/>
        <v>12.92</v>
      </c>
      <c r="I129" s="1803">
        <f t="shared" si="18"/>
        <v>0.93</v>
      </c>
      <c r="J129" s="1795"/>
    </row>
    <row r="130" spans="1:10" ht="48">
      <c r="A130" s="1797" t="s">
        <v>2476</v>
      </c>
      <c r="B130" s="1798" t="s">
        <v>7</v>
      </c>
      <c r="C130" s="1798">
        <v>90822</v>
      </c>
      <c r="D130" s="1799" t="s">
        <v>2530</v>
      </c>
      <c r="E130" s="1800" t="s">
        <v>2501</v>
      </c>
      <c r="F130" s="1807">
        <v>3.4799999999999998E-2</v>
      </c>
      <c r="G130" s="1801">
        <v>396.29</v>
      </c>
      <c r="H130" s="1802">
        <f t="shared" si="16"/>
        <v>394.26</v>
      </c>
      <c r="I130" s="1803">
        <f t="shared" si="18"/>
        <v>13.72</v>
      </c>
      <c r="J130" s="1795"/>
    </row>
    <row r="131" spans="1:10" ht="60">
      <c r="A131" s="1797" t="s">
        <v>2476</v>
      </c>
      <c r="B131" s="1798" t="s">
        <v>7</v>
      </c>
      <c r="C131" s="1798">
        <v>91170</v>
      </c>
      <c r="D131" s="1799" t="s">
        <v>2531</v>
      </c>
      <c r="E131" s="1800" t="s">
        <v>160</v>
      </c>
      <c r="F131" s="1807">
        <v>0.4612</v>
      </c>
      <c r="G131" s="1801">
        <v>3.36</v>
      </c>
      <c r="H131" s="1802">
        <f t="shared" si="16"/>
        <v>3.34</v>
      </c>
      <c r="I131" s="1803">
        <f t="shared" si="18"/>
        <v>1.54</v>
      </c>
      <c r="J131" s="1795"/>
    </row>
    <row r="132" spans="1:10" ht="48">
      <c r="A132" s="1797" t="s">
        <v>2476</v>
      </c>
      <c r="B132" s="1798" t="s">
        <v>7</v>
      </c>
      <c r="C132" s="1798">
        <v>91173</v>
      </c>
      <c r="D132" s="1799" t="s">
        <v>2532</v>
      </c>
      <c r="E132" s="1800" t="s">
        <v>160</v>
      </c>
      <c r="F132" s="1807">
        <v>0.1827</v>
      </c>
      <c r="G132" s="1801">
        <v>1.71</v>
      </c>
      <c r="H132" s="1802">
        <f t="shared" si="16"/>
        <v>1.7</v>
      </c>
      <c r="I132" s="1803">
        <f t="shared" si="18"/>
        <v>0.31</v>
      </c>
      <c r="J132" s="1795"/>
    </row>
    <row r="133" spans="1:10" ht="48">
      <c r="A133" s="1797" t="s">
        <v>2476</v>
      </c>
      <c r="B133" s="1798" t="s">
        <v>7</v>
      </c>
      <c r="C133" s="1798">
        <v>91305</v>
      </c>
      <c r="D133" s="1799" t="s">
        <v>2533</v>
      </c>
      <c r="E133" s="1800" t="s">
        <v>2501</v>
      </c>
      <c r="F133" s="1807">
        <v>5.2200000000000003E-2</v>
      </c>
      <c r="G133" s="1801">
        <v>114.72</v>
      </c>
      <c r="H133" s="1802">
        <f t="shared" ref="H133:H164" si="19">IF(E133="H",G133,TRUNC(G133*(1-$K$7),2))</f>
        <v>114.13</v>
      </c>
      <c r="I133" s="1803">
        <f t="shared" si="18"/>
        <v>5.95</v>
      </c>
      <c r="J133" s="1795"/>
    </row>
    <row r="134" spans="1:10" ht="36">
      <c r="A134" s="1797" t="s">
        <v>2476</v>
      </c>
      <c r="B134" s="1798" t="s">
        <v>7</v>
      </c>
      <c r="C134" s="1798">
        <v>91862</v>
      </c>
      <c r="D134" s="1799" t="s">
        <v>2534</v>
      </c>
      <c r="E134" s="1800" t="s">
        <v>160</v>
      </c>
      <c r="F134" s="1807">
        <v>0.33069999999999999</v>
      </c>
      <c r="G134" s="1801">
        <v>10.33</v>
      </c>
      <c r="H134" s="1802">
        <f t="shared" si="19"/>
        <v>10.27</v>
      </c>
      <c r="I134" s="1803">
        <f t="shared" si="18"/>
        <v>3.39</v>
      </c>
      <c r="J134" s="1795"/>
    </row>
    <row r="135" spans="1:10" ht="36">
      <c r="A135" s="1797" t="s">
        <v>2476</v>
      </c>
      <c r="B135" s="1798" t="s">
        <v>7</v>
      </c>
      <c r="C135" s="1798">
        <v>91863</v>
      </c>
      <c r="D135" s="1799" t="s">
        <v>1554</v>
      </c>
      <c r="E135" s="1800" t="s">
        <v>160</v>
      </c>
      <c r="F135" s="1807">
        <v>0.1305</v>
      </c>
      <c r="G135" s="1801">
        <v>12.09</v>
      </c>
      <c r="H135" s="1802">
        <f t="shared" si="19"/>
        <v>12.02</v>
      </c>
      <c r="I135" s="1803">
        <f t="shared" si="18"/>
        <v>1.56</v>
      </c>
      <c r="J135" s="1795"/>
    </row>
    <row r="136" spans="1:10" ht="36">
      <c r="A136" s="1797" t="s">
        <v>2476</v>
      </c>
      <c r="B136" s="1798" t="s">
        <v>7</v>
      </c>
      <c r="C136" s="1798">
        <v>91870</v>
      </c>
      <c r="D136" s="1799" t="s">
        <v>2535</v>
      </c>
      <c r="E136" s="1800" t="s">
        <v>160</v>
      </c>
      <c r="F136" s="1807">
        <v>0.15659999999999999</v>
      </c>
      <c r="G136" s="1801">
        <v>11.02</v>
      </c>
      <c r="H136" s="1802">
        <f t="shared" si="19"/>
        <v>10.96</v>
      </c>
      <c r="I136" s="1803">
        <f t="shared" si="18"/>
        <v>1.71</v>
      </c>
      <c r="J136" s="1795"/>
    </row>
    <row r="137" spans="1:10" ht="36">
      <c r="A137" s="1797" t="s">
        <v>2476</v>
      </c>
      <c r="B137" s="1798" t="s">
        <v>7</v>
      </c>
      <c r="C137" s="1798">
        <v>91871</v>
      </c>
      <c r="D137" s="1799" t="s">
        <v>2536</v>
      </c>
      <c r="E137" s="1800" t="s">
        <v>160</v>
      </c>
      <c r="F137" s="1807">
        <v>2.6100000000000002E-2</v>
      </c>
      <c r="G137" s="1801">
        <v>12.83</v>
      </c>
      <c r="H137" s="1802">
        <f t="shared" si="19"/>
        <v>12.76</v>
      </c>
      <c r="I137" s="1803">
        <f t="shared" si="18"/>
        <v>0.33</v>
      </c>
      <c r="J137" s="1795"/>
    </row>
    <row r="138" spans="1:10" ht="36">
      <c r="A138" s="1797" t="s">
        <v>2476</v>
      </c>
      <c r="B138" s="1798" t="s">
        <v>7</v>
      </c>
      <c r="C138" s="1798">
        <v>91875</v>
      </c>
      <c r="D138" s="1799" t="s">
        <v>2537</v>
      </c>
      <c r="E138" s="1800" t="s">
        <v>2501</v>
      </c>
      <c r="F138" s="1807">
        <v>3.4799999999999998E-2</v>
      </c>
      <c r="G138" s="1801">
        <v>6.21</v>
      </c>
      <c r="H138" s="1802">
        <f t="shared" si="19"/>
        <v>6.17</v>
      </c>
      <c r="I138" s="1803">
        <f t="shared" si="18"/>
        <v>0.21</v>
      </c>
      <c r="J138" s="1795"/>
    </row>
    <row r="139" spans="1:10" ht="36">
      <c r="A139" s="1797" t="s">
        <v>2476</v>
      </c>
      <c r="B139" s="1798" t="s">
        <v>7</v>
      </c>
      <c r="C139" s="1798">
        <v>91882</v>
      </c>
      <c r="D139" s="1799" t="s">
        <v>2538</v>
      </c>
      <c r="E139" s="1800" t="s">
        <v>2501</v>
      </c>
      <c r="F139" s="1807">
        <v>3.4799999999999998E-2</v>
      </c>
      <c r="G139" s="1801">
        <v>7.49</v>
      </c>
      <c r="H139" s="1802">
        <f t="shared" si="19"/>
        <v>7.45</v>
      </c>
      <c r="I139" s="1803">
        <f t="shared" si="18"/>
        <v>0.25</v>
      </c>
      <c r="J139" s="1795"/>
    </row>
    <row r="140" spans="1:10" ht="48">
      <c r="A140" s="1797" t="s">
        <v>2476</v>
      </c>
      <c r="B140" s="1798" t="s">
        <v>7</v>
      </c>
      <c r="C140" s="1798">
        <v>91890</v>
      </c>
      <c r="D140" s="1799" t="s">
        <v>2539</v>
      </c>
      <c r="E140" s="1800" t="s">
        <v>2501</v>
      </c>
      <c r="F140" s="1807">
        <v>1.7399999999999999E-2</v>
      </c>
      <c r="G140" s="1801">
        <v>10.31</v>
      </c>
      <c r="H140" s="1802">
        <f t="shared" si="19"/>
        <v>10.25</v>
      </c>
      <c r="I140" s="1803">
        <f t="shared" si="18"/>
        <v>0.17</v>
      </c>
      <c r="J140" s="1795"/>
    </row>
    <row r="141" spans="1:10" ht="48">
      <c r="A141" s="1797" t="s">
        <v>2476</v>
      </c>
      <c r="B141" s="1798" t="s">
        <v>7</v>
      </c>
      <c r="C141" s="1798">
        <v>91911</v>
      </c>
      <c r="D141" s="1799" t="s">
        <v>2540</v>
      </c>
      <c r="E141" s="1800" t="s">
        <v>2501</v>
      </c>
      <c r="F141" s="1807">
        <v>6.9599999999999995E-2</v>
      </c>
      <c r="G141" s="1801">
        <v>12.83</v>
      </c>
      <c r="H141" s="1802">
        <f t="shared" si="19"/>
        <v>12.76</v>
      </c>
      <c r="I141" s="1803">
        <f t="shared" si="18"/>
        <v>0.88</v>
      </c>
      <c r="J141" s="1795"/>
    </row>
    <row r="142" spans="1:10" ht="36">
      <c r="A142" s="1797" t="s">
        <v>2476</v>
      </c>
      <c r="B142" s="1798" t="s">
        <v>7</v>
      </c>
      <c r="C142" s="1798">
        <v>91924</v>
      </c>
      <c r="D142" s="1799" t="s">
        <v>2541</v>
      </c>
      <c r="E142" s="1800" t="s">
        <v>160</v>
      </c>
      <c r="F142" s="1807">
        <v>1.2529999999999999</v>
      </c>
      <c r="G142" s="1801">
        <v>2.74</v>
      </c>
      <c r="H142" s="1802">
        <f t="shared" si="19"/>
        <v>2.72</v>
      </c>
      <c r="I142" s="1803">
        <f t="shared" si="18"/>
        <v>3.4</v>
      </c>
      <c r="J142" s="1795"/>
    </row>
    <row r="143" spans="1:10" ht="36">
      <c r="A143" s="1797" t="s">
        <v>2476</v>
      </c>
      <c r="B143" s="1798" t="s">
        <v>7</v>
      </c>
      <c r="C143" s="1798">
        <v>91926</v>
      </c>
      <c r="D143" s="1799" t="s">
        <v>2211</v>
      </c>
      <c r="E143" s="1800" t="s">
        <v>160</v>
      </c>
      <c r="F143" s="1807">
        <v>0.46989999999999998</v>
      </c>
      <c r="G143" s="1801">
        <v>3.97</v>
      </c>
      <c r="H143" s="1802">
        <f t="shared" si="19"/>
        <v>3.94</v>
      </c>
      <c r="I143" s="1803">
        <f t="shared" si="18"/>
        <v>1.85</v>
      </c>
      <c r="J143" s="1795"/>
    </row>
    <row r="144" spans="1:10" ht="36">
      <c r="A144" s="1797" t="s">
        <v>2476</v>
      </c>
      <c r="B144" s="1798" t="s">
        <v>7</v>
      </c>
      <c r="C144" s="1798">
        <v>91928</v>
      </c>
      <c r="D144" s="1799" t="s">
        <v>2542</v>
      </c>
      <c r="E144" s="1800" t="s">
        <v>160</v>
      </c>
      <c r="F144" s="1807">
        <v>1.0442</v>
      </c>
      <c r="G144" s="1801">
        <v>6.12</v>
      </c>
      <c r="H144" s="1802">
        <f t="shared" si="19"/>
        <v>6.08</v>
      </c>
      <c r="I144" s="1803">
        <f t="shared" si="18"/>
        <v>6.34</v>
      </c>
      <c r="J144" s="1795"/>
    </row>
    <row r="145" spans="1:10" ht="24">
      <c r="A145" s="1797" t="s">
        <v>2476</v>
      </c>
      <c r="B145" s="1798" t="s">
        <v>7</v>
      </c>
      <c r="C145" s="1798">
        <v>91937</v>
      </c>
      <c r="D145" s="1799" t="s">
        <v>2543</v>
      </c>
      <c r="E145" s="1800" t="s">
        <v>2501</v>
      </c>
      <c r="F145" s="1807">
        <v>0.13919999999999999</v>
      </c>
      <c r="G145" s="1801">
        <v>11.07</v>
      </c>
      <c r="H145" s="1802">
        <f t="shared" si="19"/>
        <v>11.01</v>
      </c>
      <c r="I145" s="1803">
        <f t="shared" si="18"/>
        <v>1.53</v>
      </c>
      <c r="J145" s="1795"/>
    </row>
    <row r="146" spans="1:10" ht="36">
      <c r="A146" s="1797" t="s">
        <v>2476</v>
      </c>
      <c r="B146" s="1798" t="s">
        <v>7</v>
      </c>
      <c r="C146" s="1798">
        <v>91959</v>
      </c>
      <c r="D146" s="1799" t="s">
        <v>174</v>
      </c>
      <c r="E146" s="1800" t="s">
        <v>2501</v>
      </c>
      <c r="F146" s="1807">
        <v>1.7399999999999999E-2</v>
      </c>
      <c r="G146" s="1801">
        <v>37.909999999999997</v>
      </c>
      <c r="H146" s="1802">
        <f t="shared" si="19"/>
        <v>37.71</v>
      </c>
      <c r="I146" s="1803">
        <f t="shared" si="18"/>
        <v>0.65</v>
      </c>
      <c r="J146" s="1795"/>
    </row>
    <row r="147" spans="1:10" ht="36">
      <c r="A147" s="1797" t="s">
        <v>2476</v>
      </c>
      <c r="B147" s="1798" t="s">
        <v>7</v>
      </c>
      <c r="C147" s="1798">
        <v>91967</v>
      </c>
      <c r="D147" s="1799" t="s">
        <v>1589</v>
      </c>
      <c r="E147" s="1800" t="s">
        <v>2501</v>
      </c>
      <c r="F147" s="1807">
        <v>1.7399999999999999E-2</v>
      </c>
      <c r="G147" s="1801">
        <v>51.86</v>
      </c>
      <c r="H147" s="1802">
        <f t="shared" si="19"/>
        <v>51.59</v>
      </c>
      <c r="I147" s="1803">
        <f t="shared" si="18"/>
        <v>0.89</v>
      </c>
      <c r="J147" s="1795"/>
    </row>
    <row r="148" spans="1:10" ht="36">
      <c r="A148" s="1797" t="s">
        <v>2476</v>
      </c>
      <c r="B148" s="1798" t="s">
        <v>7</v>
      </c>
      <c r="C148" s="1798">
        <v>92000</v>
      </c>
      <c r="D148" s="1799" t="s">
        <v>2544</v>
      </c>
      <c r="E148" s="1800" t="s">
        <v>2501</v>
      </c>
      <c r="F148" s="1807">
        <v>3.4799999999999998E-2</v>
      </c>
      <c r="G148" s="1801">
        <v>25.28</v>
      </c>
      <c r="H148" s="1802">
        <f t="shared" si="19"/>
        <v>25.15</v>
      </c>
      <c r="I148" s="1803">
        <f t="shared" si="18"/>
        <v>0.87</v>
      </c>
      <c r="J148" s="1795"/>
    </row>
    <row r="149" spans="1:10" ht="60">
      <c r="A149" s="1797" t="s">
        <v>2476</v>
      </c>
      <c r="B149" s="1798" t="s">
        <v>7</v>
      </c>
      <c r="C149" s="1798">
        <v>92543</v>
      </c>
      <c r="D149" s="1799" t="s">
        <v>2545</v>
      </c>
      <c r="E149" s="1800" t="s">
        <v>1176</v>
      </c>
      <c r="F149" s="1807">
        <v>1.3566</v>
      </c>
      <c r="G149" s="1801">
        <v>22.25</v>
      </c>
      <c r="H149" s="1802">
        <f t="shared" si="19"/>
        <v>22.13</v>
      </c>
      <c r="I149" s="1803">
        <f t="shared" si="18"/>
        <v>30.02</v>
      </c>
      <c r="J149" s="1795"/>
    </row>
    <row r="150" spans="1:10" ht="36">
      <c r="A150" s="1797" t="s">
        <v>2476</v>
      </c>
      <c r="B150" s="1798" t="s">
        <v>7</v>
      </c>
      <c r="C150" s="1798">
        <v>92981</v>
      </c>
      <c r="D150" s="1799" t="s">
        <v>2546</v>
      </c>
      <c r="E150" s="1800" t="s">
        <v>160</v>
      </c>
      <c r="F150" s="1807">
        <v>0.2611</v>
      </c>
      <c r="G150" s="1801">
        <v>14.98</v>
      </c>
      <c r="H150" s="1802">
        <f t="shared" si="19"/>
        <v>14.9</v>
      </c>
      <c r="I150" s="1803">
        <f t="shared" si="18"/>
        <v>3.89</v>
      </c>
      <c r="J150" s="1795"/>
    </row>
    <row r="151" spans="1:10" ht="24">
      <c r="A151" s="1797" t="s">
        <v>2476</v>
      </c>
      <c r="B151" s="1798" t="s">
        <v>7</v>
      </c>
      <c r="C151" s="1798">
        <v>93358</v>
      </c>
      <c r="D151" s="1799" t="s">
        <v>2547</v>
      </c>
      <c r="E151" s="1800" t="s">
        <v>1171</v>
      </c>
      <c r="F151" s="1807">
        <v>2.7900000000000001E-2</v>
      </c>
      <c r="G151" s="1801">
        <v>76.94</v>
      </c>
      <c r="H151" s="1802">
        <f t="shared" si="19"/>
        <v>76.540000000000006</v>
      </c>
      <c r="I151" s="1803">
        <f t="shared" si="18"/>
        <v>2.13</v>
      </c>
      <c r="J151" s="1795"/>
    </row>
    <row r="152" spans="1:10" ht="60">
      <c r="A152" s="1797" t="s">
        <v>2476</v>
      </c>
      <c r="B152" s="1798" t="s">
        <v>7</v>
      </c>
      <c r="C152" s="1798">
        <v>94210</v>
      </c>
      <c r="D152" s="1799" t="s">
        <v>2548</v>
      </c>
      <c r="E152" s="1800" t="s">
        <v>1176</v>
      </c>
      <c r="F152" s="1807">
        <v>1.3566</v>
      </c>
      <c r="G152" s="1801">
        <v>55.58</v>
      </c>
      <c r="H152" s="1802">
        <f t="shared" si="19"/>
        <v>55.29</v>
      </c>
      <c r="I152" s="1803">
        <f t="shared" si="18"/>
        <v>75</v>
      </c>
      <c r="J152" s="1795"/>
    </row>
    <row r="153" spans="1:10" ht="60">
      <c r="A153" s="1797" t="s">
        <v>2476</v>
      </c>
      <c r="B153" s="1798" t="s">
        <v>7</v>
      </c>
      <c r="C153" s="1798">
        <v>94559</v>
      </c>
      <c r="D153" s="1799" t="s">
        <v>2549</v>
      </c>
      <c r="E153" s="1800" t="s">
        <v>1176</v>
      </c>
      <c r="F153" s="1807">
        <v>9.0499999999999997E-2</v>
      </c>
      <c r="G153" s="1801">
        <v>809.19</v>
      </c>
      <c r="H153" s="1802">
        <f t="shared" si="19"/>
        <v>805.06</v>
      </c>
      <c r="I153" s="1803">
        <f t="shared" si="18"/>
        <v>72.849999999999994</v>
      </c>
      <c r="J153" s="1795"/>
    </row>
    <row r="154" spans="1:10" ht="36">
      <c r="A154" s="1797" t="s">
        <v>2476</v>
      </c>
      <c r="B154" s="1798" t="s">
        <v>7</v>
      </c>
      <c r="C154" s="1798">
        <v>95240</v>
      </c>
      <c r="D154" s="1799" t="s">
        <v>2550</v>
      </c>
      <c r="E154" s="1800" t="s">
        <v>1176</v>
      </c>
      <c r="F154" s="1807">
        <v>6.4000000000000003E-3</v>
      </c>
      <c r="G154" s="1801">
        <v>19.690000000000001</v>
      </c>
      <c r="H154" s="1802">
        <f t="shared" si="19"/>
        <v>19.579999999999998</v>
      </c>
      <c r="I154" s="1803">
        <f t="shared" si="18"/>
        <v>0.12</v>
      </c>
      <c r="J154" s="1795"/>
    </row>
    <row r="155" spans="1:10" ht="36">
      <c r="A155" s="1797" t="s">
        <v>2476</v>
      </c>
      <c r="B155" s="1798" t="s">
        <v>7</v>
      </c>
      <c r="C155" s="1798">
        <v>95241</v>
      </c>
      <c r="D155" s="1799" t="s">
        <v>2551</v>
      </c>
      <c r="E155" s="1800" t="s">
        <v>1176</v>
      </c>
      <c r="F155" s="1807">
        <v>1.3328</v>
      </c>
      <c r="G155" s="1801">
        <v>32.82</v>
      </c>
      <c r="H155" s="1802">
        <f t="shared" si="19"/>
        <v>32.65</v>
      </c>
      <c r="I155" s="1803">
        <f t="shared" si="18"/>
        <v>43.51</v>
      </c>
      <c r="J155" s="1795"/>
    </row>
    <row r="156" spans="1:10" ht="36">
      <c r="A156" s="1797" t="s">
        <v>2476</v>
      </c>
      <c r="B156" s="1798" t="s">
        <v>7</v>
      </c>
      <c r="C156" s="1798">
        <v>95805</v>
      </c>
      <c r="D156" s="1799" t="s">
        <v>2552</v>
      </c>
      <c r="E156" s="1800" t="s">
        <v>2501</v>
      </c>
      <c r="F156" s="1807">
        <v>1.7399999999999999E-2</v>
      </c>
      <c r="G156" s="1801">
        <v>21.95</v>
      </c>
      <c r="H156" s="1802">
        <f t="shared" si="19"/>
        <v>21.83</v>
      </c>
      <c r="I156" s="1803">
        <f t="shared" si="18"/>
        <v>0.37</v>
      </c>
      <c r="J156" s="1795"/>
    </row>
    <row r="157" spans="1:10" ht="36">
      <c r="A157" s="1797" t="s">
        <v>2476</v>
      </c>
      <c r="B157" s="1798" t="s">
        <v>7</v>
      </c>
      <c r="C157" s="1798">
        <v>95811</v>
      </c>
      <c r="D157" s="1799" t="s">
        <v>2553</v>
      </c>
      <c r="E157" s="1800" t="s">
        <v>2501</v>
      </c>
      <c r="F157" s="1807">
        <v>5.2200000000000003E-2</v>
      </c>
      <c r="G157" s="1801">
        <v>18.739999999999998</v>
      </c>
      <c r="H157" s="1802">
        <f t="shared" si="19"/>
        <v>18.64</v>
      </c>
      <c r="I157" s="1803">
        <f t="shared" si="18"/>
        <v>0.97</v>
      </c>
      <c r="J157" s="1795"/>
    </row>
    <row r="158" spans="1:10" ht="24">
      <c r="A158" s="1797" t="s">
        <v>2476</v>
      </c>
      <c r="B158" s="1798" t="s">
        <v>7</v>
      </c>
      <c r="C158" s="1798">
        <v>96985</v>
      </c>
      <c r="D158" s="1799" t="s">
        <v>2554</v>
      </c>
      <c r="E158" s="1800" t="s">
        <v>2501</v>
      </c>
      <c r="F158" s="1807">
        <v>5.2200000000000003E-2</v>
      </c>
      <c r="G158" s="1801">
        <v>76.36</v>
      </c>
      <c r="H158" s="1802">
        <f t="shared" si="19"/>
        <v>75.97</v>
      </c>
      <c r="I158" s="1803">
        <f t="shared" si="18"/>
        <v>3.96</v>
      </c>
      <c r="J158" s="1795"/>
    </row>
    <row r="159" spans="1:10" ht="24">
      <c r="A159" s="1797" t="s">
        <v>2476</v>
      </c>
      <c r="B159" s="1798" t="s">
        <v>7</v>
      </c>
      <c r="C159" s="1798">
        <v>96995</v>
      </c>
      <c r="D159" s="1799" t="s">
        <v>414</v>
      </c>
      <c r="E159" s="1800" t="s">
        <v>1171</v>
      </c>
      <c r="F159" s="1807">
        <v>7.1999999999999998E-3</v>
      </c>
      <c r="G159" s="1801">
        <v>46.65</v>
      </c>
      <c r="H159" s="1802">
        <f t="shared" si="19"/>
        <v>46.41</v>
      </c>
      <c r="I159" s="1803">
        <f t="shared" si="18"/>
        <v>0.33</v>
      </c>
      <c r="J159" s="1795"/>
    </row>
    <row r="160" spans="1:10" ht="48">
      <c r="A160" s="1797" t="s">
        <v>2476</v>
      </c>
      <c r="B160" s="1798" t="s">
        <v>7</v>
      </c>
      <c r="C160" s="1798">
        <v>97586</v>
      </c>
      <c r="D160" s="1799" t="s">
        <v>2555</v>
      </c>
      <c r="E160" s="1800" t="s">
        <v>2501</v>
      </c>
      <c r="F160" s="1807">
        <v>0.13919999999999999</v>
      </c>
      <c r="G160" s="1801">
        <v>153.35</v>
      </c>
      <c r="H160" s="1802">
        <f t="shared" si="19"/>
        <v>152.56</v>
      </c>
      <c r="I160" s="1803">
        <f t="shared" si="18"/>
        <v>21.23</v>
      </c>
      <c r="J160" s="1795"/>
    </row>
    <row r="161" spans="1:10" ht="48">
      <c r="A161" s="1797" t="s">
        <v>2476</v>
      </c>
      <c r="B161" s="1798" t="s">
        <v>7</v>
      </c>
      <c r="C161" s="1798">
        <v>97886</v>
      </c>
      <c r="D161" s="1799" t="s">
        <v>2556</v>
      </c>
      <c r="E161" s="1800" t="s">
        <v>2501</v>
      </c>
      <c r="F161" s="1807">
        <v>5.2200000000000003E-2</v>
      </c>
      <c r="G161" s="1801">
        <v>173.06</v>
      </c>
      <c r="H161" s="1802">
        <f t="shared" si="19"/>
        <v>172.17</v>
      </c>
      <c r="I161" s="1803">
        <f t="shared" si="18"/>
        <v>8.98</v>
      </c>
      <c r="J161" s="1795"/>
    </row>
    <row r="162" spans="1:10" ht="48">
      <c r="A162" s="1797" t="s">
        <v>2476</v>
      </c>
      <c r="B162" s="1798" t="s">
        <v>7</v>
      </c>
      <c r="C162" s="1798">
        <v>97906</v>
      </c>
      <c r="D162" s="1799" t="s">
        <v>2557</v>
      </c>
      <c r="E162" s="1800" t="s">
        <v>2501</v>
      </c>
      <c r="F162" s="1807">
        <v>3.4799999999999998E-2</v>
      </c>
      <c r="G162" s="1801">
        <v>441.77</v>
      </c>
      <c r="H162" s="1802">
        <f t="shared" si="19"/>
        <v>439.51</v>
      </c>
      <c r="I162" s="1803">
        <f t="shared" si="18"/>
        <v>15.29</v>
      </c>
      <c r="J162" s="1795"/>
    </row>
    <row r="163" spans="1:10" ht="48">
      <c r="A163" s="1797" t="s">
        <v>2476</v>
      </c>
      <c r="B163" s="1798" t="s">
        <v>7</v>
      </c>
      <c r="C163" s="1798">
        <v>98441</v>
      </c>
      <c r="D163" s="1799" t="s">
        <v>2558</v>
      </c>
      <c r="E163" s="1800" t="s">
        <v>1176</v>
      </c>
      <c r="F163" s="1807">
        <v>0.26119999999999999</v>
      </c>
      <c r="G163" s="1801">
        <v>159.15</v>
      </c>
      <c r="H163" s="1802">
        <f t="shared" si="19"/>
        <v>158.33000000000001</v>
      </c>
      <c r="I163" s="1803">
        <f t="shared" si="18"/>
        <v>41.35</v>
      </c>
      <c r="J163" s="1795"/>
    </row>
    <row r="164" spans="1:10" ht="36">
      <c r="A164" s="1797" t="s">
        <v>2476</v>
      </c>
      <c r="B164" s="1798" t="s">
        <v>7</v>
      </c>
      <c r="C164" s="1798">
        <v>98442</v>
      </c>
      <c r="D164" s="1799" t="s">
        <v>2559</v>
      </c>
      <c r="E164" s="1800" t="s">
        <v>1176</v>
      </c>
      <c r="F164" s="1807">
        <v>0.30070000000000002</v>
      </c>
      <c r="G164" s="1801">
        <v>162.19</v>
      </c>
      <c r="H164" s="1802">
        <f t="shared" si="19"/>
        <v>161.36000000000001</v>
      </c>
      <c r="I164" s="1803">
        <f t="shared" si="18"/>
        <v>48.52</v>
      </c>
      <c r="J164" s="1795"/>
    </row>
    <row r="165" spans="1:10" ht="48">
      <c r="A165" s="1797" t="s">
        <v>2476</v>
      </c>
      <c r="B165" s="1798" t="s">
        <v>7</v>
      </c>
      <c r="C165" s="1798">
        <v>98443</v>
      </c>
      <c r="D165" s="1799" t="s">
        <v>2560</v>
      </c>
      <c r="E165" s="1800" t="s">
        <v>1176</v>
      </c>
      <c r="F165" s="1807">
        <v>8.3000000000000004E-2</v>
      </c>
      <c r="G165" s="1801">
        <v>141.4</v>
      </c>
      <c r="H165" s="1802">
        <f t="shared" ref="H165:H196" si="20">IF(E165="H",G165,TRUNC(G165*(1-$K$7),2))</f>
        <v>140.66999999999999</v>
      </c>
      <c r="I165" s="1803">
        <f t="shared" si="18"/>
        <v>11.67</v>
      </c>
      <c r="J165" s="1795"/>
    </row>
    <row r="166" spans="1:10" ht="36">
      <c r="A166" s="1797" t="s">
        <v>2476</v>
      </c>
      <c r="B166" s="1798" t="s">
        <v>7</v>
      </c>
      <c r="C166" s="1798">
        <v>98444</v>
      </c>
      <c r="D166" s="1799" t="s">
        <v>2561</v>
      </c>
      <c r="E166" s="1800" t="s">
        <v>1176</v>
      </c>
      <c r="F166" s="1807">
        <v>9.5600000000000004E-2</v>
      </c>
      <c r="G166" s="1801">
        <v>143.59</v>
      </c>
      <c r="H166" s="1802">
        <f t="shared" si="20"/>
        <v>142.85</v>
      </c>
      <c r="I166" s="1803">
        <f t="shared" ref="I166:I170" si="21">TRUNC(H166*F166,2)</f>
        <v>13.65</v>
      </c>
      <c r="J166" s="1795"/>
    </row>
    <row r="167" spans="1:10" ht="48">
      <c r="A167" s="1797" t="s">
        <v>2476</v>
      </c>
      <c r="B167" s="1798" t="s">
        <v>7</v>
      </c>
      <c r="C167" s="1798">
        <v>98445</v>
      </c>
      <c r="D167" s="1799" t="s">
        <v>2562</v>
      </c>
      <c r="E167" s="1800" t="s">
        <v>1176</v>
      </c>
      <c r="F167" s="1807">
        <v>0.40810000000000002</v>
      </c>
      <c r="G167" s="1801">
        <v>188.28</v>
      </c>
      <c r="H167" s="1802">
        <f t="shared" si="20"/>
        <v>187.31</v>
      </c>
      <c r="I167" s="1803">
        <f t="shared" si="21"/>
        <v>76.44</v>
      </c>
      <c r="J167" s="1795"/>
    </row>
    <row r="168" spans="1:10" ht="36">
      <c r="A168" s="1797" t="s">
        <v>2476</v>
      </c>
      <c r="B168" s="1798" t="s">
        <v>7</v>
      </c>
      <c r="C168" s="1798">
        <v>98446</v>
      </c>
      <c r="D168" s="1799" t="s">
        <v>2563</v>
      </c>
      <c r="E168" s="1800" t="s">
        <v>1176</v>
      </c>
      <c r="F168" s="1807">
        <v>0.31819999999999998</v>
      </c>
      <c r="G168" s="1801">
        <v>236.73</v>
      </c>
      <c r="H168" s="1802">
        <f t="shared" si="20"/>
        <v>235.52</v>
      </c>
      <c r="I168" s="1803">
        <f t="shared" si="21"/>
        <v>74.94</v>
      </c>
      <c r="J168" s="1795"/>
    </row>
    <row r="169" spans="1:10" ht="48">
      <c r="A169" s="1797" t="s">
        <v>2476</v>
      </c>
      <c r="B169" s="1798" t="s">
        <v>7</v>
      </c>
      <c r="C169" s="1798">
        <v>98447</v>
      </c>
      <c r="D169" s="1799" t="s">
        <v>2564</v>
      </c>
      <c r="E169" s="1800" t="s">
        <v>1176</v>
      </c>
      <c r="F169" s="1807">
        <v>0.12970000000000001</v>
      </c>
      <c r="G169" s="1801">
        <v>163.54</v>
      </c>
      <c r="H169" s="1802">
        <f t="shared" si="20"/>
        <v>162.69999999999999</v>
      </c>
      <c r="I169" s="1803">
        <f t="shared" si="21"/>
        <v>21.1</v>
      </c>
      <c r="J169" s="1795"/>
    </row>
    <row r="170" spans="1:10" ht="36">
      <c r="A170" s="1797" t="s">
        <v>2476</v>
      </c>
      <c r="B170" s="1798" t="s">
        <v>7</v>
      </c>
      <c r="C170" s="1798">
        <v>98448</v>
      </c>
      <c r="D170" s="1799" t="s">
        <v>2565</v>
      </c>
      <c r="E170" s="1800" t="s">
        <v>1176</v>
      </c>
      <c r="F170" s="1807">
        <v>0.1011</v>
      </c>
      <c r="G170" s="1801">
        <v>201.14</v>
      </c>
      <c r="H170" s="1802">
        <f t="shared" si="20"/>
        <v>200.11</v>
      </c>
      <c r="I170" s="1803">
        <f t="shared" si="21"/>
        <v>20.23</v>
      </c>
      <c r="J170" s="1795"/>
    </row>
    <row r="171" spans="1:10" ht="36">
      <c r="A171" s="1797" t="s">
        <v>2476</v>
      </c>
      <c r="B171" s="1798" t="s">
        <v>7</v>
      </c>
      <c r="C171" s="1798">
        <v>98679</v>
      </c>
      <c r="D171" s="1799" t="s">
        <v>2566</v>
      </c>
      <c r="E171" s="1800" t="s">
        <v>1176</v>
      </c>
      <c r="F171" s="1807">
        <v>0.51339999999999997</v>
      </c>
      <c r="G171" s="1801">
        <v>38.99</v>
      </c>
      <c r="H171" s="1802">
        <f t="shared" si="20"/>
        <v>38.79</v>
      </c>
      <c r="I171" s="1803">
        <f t="shared" si="17"/>
        <v>19.91</v>
      </c>
      <c r="J171" s="1795"/>
    </row>
    <row r="172" spans="1:10" ht="24">
      <c r="A172" s="1797" t="s">
        <v>2476</v>
      </c>
      <c r="B172" s="1798" t="s">
        <v>7</v>
      </c>
      <c r="C172" s="1798">
        <v>100860</v>
      </c>
      <c r="D172" s="1799" t="s">
        <v>2567</v>
      </c>
      <c r="E172" s="1800" t="s">
        <v>2501</v>
      </c>
      <c r="F172" s="1807">
        <v>6.9599999999999995E-2</v>
      </c>
      <c r="G172" s="1801">
        <v>101</v>
      </c>
      <c r="H172" s="1802">
        <f t="shared" si="20"/>
        <v>100.48</v>
      </c>
      <c r="I172" s="1803">
        <f t="shared" si="17"/>
        <v>6.99</v>
      </c>
      <c r="J172" s="1795"/>
    </row>
    <row r="173" spans="1:10" ht="48">
      <c r="A173" s="1797" t="s">
        <v>2476</v>
      </c>
      <c r="B173" s="1798" t="s">
        <v>7</v>
      </c>
      <c r="C173" s="1798">
        <v>101165</v>
      </c>
      <c r="D173" s="1799" t="s">
        <v>2568</v>
      </c>
      <c r="E173" s="1800" t="s">
        <v>1171</v>
      </c>
      <c r="F173" s="1807">
        <v>2.86E-2</v>
      </c>
      <c r="G173" s="1801">
        <v>929.85</v>
      </c>
      <c r="H173" s="1802">
        <f t="shared" si="20"/>
        <v>925.1</v>
      </c>
      <c r="I173" s="1803">
        <f t="shared" si="17"/>
        <v>26.45</v>
      </c>
      <c r="J173" s="1795"/>
    </row>
    <row r="174" spans="1:10" ht="36">
      <c r="A174" s="1797" t="s">
        <v>2476</v>
      </c>
      <c r="B174" s="1798" t="s">
        <v>7</v>
      </c>
      <c r="C174" s="1798">
        <v>101876</v>
      </c>
      <c r="D174" s="1799" t="s">
        <v>2569</v>
      </c>
      <c r="E174" s="1800" t="s">
        <v>2501</v>
      </c>
      <c r="F174" s="1807">
        <v>1.7399999999999999E-2</v>
      </c>
      <c r="G174" s="1801">
        <v>79.739999999999995</v>
      </c>
      <c r="H174" s="1802">
        <f t="shared" si="20"/>
        <v>79.33</v>
      </c>
      <c r="I174" s="1803">
        <f t="shared" si="17"/>
        <v>1.38</v>
      </c>
      <c r="J174" s="1795"/>
    </row>
    <row r="175" spans="1:10" ht="36">
      <c r="A175" s="1797" t="s">
        <v>2476</v>
      </c>
      <c r="B175" s="1798" t="s">
        <v>7</v>
      </c>
      <c r="C175" s="1798">
        <v>101891</v>
      </c>
      <c r="D175" s="1799" t="s">
        <v>2570</v>
      </c>
      <c r="E175" s="1800" t="s">
        <v>2501</v>
      </c>
      <c r="F175" s="1807">
        <v>0.10440000000000001</v>
      </c>
      <c r="G175" s="1801">
        <v>29.68</v>
      </c>
      <c r="H175" s="1802">
        <f t="shared" si="20"/>
        <v>29.52</v>
      </c>
      <c r="I175" s="1803">
        <f t="shared" si="17"/>
        <v>3.08</v>
      </c>
      <c r="J175" s="1795"/>
    </row>
    <row r="176" spans="1:10" ht="48">
      <c r="A176" s="1797" t="s">
        <v>2476</v>
      </c>
      <c r="B176" s="1798" t="s">
        <v>7</v>
      </c>
      <c r="C176" s="1798">
        <v>103328</v>
      </c>
      <c r="D176" s="1799" t="s">
        <v>2571</v>
      </c>
      <c r="E176" s="1800" t="s">
        <v>1176</v>
      </c>
      <c r="F176" s="1807">
        <v>0.46750000000000003</v>
      </c>
      <c r="G176" s="1801">
        <v>92.79</v>
      </c>
      <c r="H176" s="1802">
        <f t="shared" si="20"/>
        <v>92.31</v>
      </c>
      <c r="I176" s="1803">
        <f t="shared" si="17"/>
        <v>43.15</v>
      </c>
      <c r="J176" s="1795"/>
    </row>
    <row r="177" spans="1:10">
      <c r="A177" s="1943" t="s">
        <v>2477</v>
      </c>
      <c r="B177" s="1944"/>
      <c r="C177" s="1944"/>
      <c r="D177" s="1944"/>
      <c r="E177" s="1944"/>
      <c r="F177" s="1944"/>
      <c r="G177" s="1944"/>
      <c r="H177" s="1945"/>
      <c r="I177" s="1805">
        <f>SUM(I101:I176)</f>
        <v>1064.9800000000002</v>
      </c>
      <c r="J177" s="1795"/>
    </row>
    <row r="178" spans="1:10">
      <c r="A178" s="1929"/>
      <c r="B178" s="1930"/>
      <c r="C178" s="1930"/>
      <c r="D178" s="1930"/>
      <c r="E178" s="1930"/>
      <c r="F178" s="1930"/>
      <c r="G178" s="1930"/>
      <c r="H178" s="1930"/>
      <c r="I178" s="1931"/>
      <c r="J178" s="1795"/>
    </row>
    <row r="179" spans="1:10" ht="23.25" customHeight="1">
      <c r="A179" s="1784">
        <f>'PLANILHA SEM DESON'!B28</f>
        <v>93208</v>
      </c>
      <c r="B179" s="1940" t="str">
        <f>VLOOKUP(A179,'PLANILHA SEM DESON'!$B$17:$D$1700,2,FALSE)</f>
        <v>EXECUÇÃO DE ALMOXARIFADO EM CANTEIRO DE OBRA EM CHAPA DE MADEIRA COMPENSADA, INCLUSO PRATELEIRAS. AF_02/2016</v>
      </c>
      <c r="C179" s="1941"/>
      <c r="D179" s="1941"/>
      <c r="E179" s="1941"/>
      <c r="F179" s="1941"/>
      <c r="G179" s="1941"/>
      <c r="H179" s="1942"/>
      <c r="I179" s="1785" t="str">
        <f>VLOOKUP(A179,'PLANILHA SEM DESON'!$B$17:$D$1700,3,FALSE)</f>
        <v>m²</v>
      </c>
      <c r="J179" s="1786">
        <f>I223</f>
        <v>957.71</v>
      </c>
    </row>
    <row r="180" spans="1:10" ht="24">
      <c r="A180" s="1788" t="s">
        <v>2470</v>
      </c>
      <c r="B180" s="1789" t="s">
        <v>2471</v>
      </c>
      <c r="C180" s="1790" t="s">
        <v>2468</v>
      </c>
      <c r="D180" s="1791" t="s">
        <v>308</v>
      </c>
      <c r="E180" s="1790" t="s">
        <v>202</v>
      </c>
      <c r="F180" s="1792" t="s">
        <v>2472</v>
      </c>
      <c r="G180" s="1790" t="s">
        <v>2473</v>
      </c>
      <c r="H180" s="1793" t="s">
        <v>2474</v>
      </c>
      <c r="I180" s="1794" t="s">
        <v>2475</v>
      </c>
      <c r="J180" s="1795"/>
    </row>
    <row r="181" spans="1:10" ht="24">
      <c r="A181" s="1797" t="s">
        <v>2476</v>
      </c>
      <c r="B181" s="1798" t="s">
        <v>2479</v>
      </c>
      <c r="C181" s="1798">
        <v>4513</v>
      </c>
      <c r="D181" s="1799" t="s">
        <v>2572</v>
      </c>
      <c r="E181" s="1800" t="s">
        <v>160</v>
      </c>
      <c r="F181" s="1807">
        <v>3.4843999999999999</v>
      </c>
      <c r="G181" s="1801">
        <v>8.2100000000000009</v>
      </c>
      <c r="H181" s="1802">
        <f t="shared" ref="H181:H222" si="22">IF(E181="H",G181,TRUNC(G181*(1-$K$7),2))</f>
        <v>8.16</v>
      </c>
      <c r="I181" s="1803">
        <f t="shared" ref="I181:I222" si="23">TRUNC(H181*F181,2)</f>
        <v>28.43</v>
      </c>
      <c r="J181" s="1795"/>
    </row>
    <row r="182" spans="1:10" ht="36">
      <c r="A182" s="1797" t="s">
        <v>2476</v>
      </c>
      <c r="B182" s="1798" t="s">
        <v>2479</v>
      </c>
      <c r="C182" s="1798">
        <v>6193</v>
      </c>
      <c r="D182" s="1799" t="s">
        <v>2573</v>
      </c>
      <c r="E182" s="1800" t="s">
        <v>160</v>
      </c>
      <c r="F182" s="1807">
        <v>3.9174000000000002</v>
      </c>
      <c r="G182" s="1801">
        <v>18.010000000000002</v>
      </c>
      <c r="H182" s="1802">
        <f t="shared" si="22"/>
        <v>17.91</v>
      </c>
      <c r="I182" s="1803">
        <f t="shared" ref="I182:I216" si="24">TRUNC(H182*F182,2)</f>
        <v>70.16</v>
      </c>
      <c r="J182" s="1795"/>
    </row>
    <row r="183" spans="1:10" ht="24">
      <c r="A183" s="1797" t="s">
        <v>2476</v>
      </c>
      <c r="B183" s="1798" t="s">
        <v>2479</v>
      </c>
      <c r="C183" s="1798">
        <v>10886</v>
      </c>
      <c r="D183" s="1799" t="s">
        <v>2574</v>
      </c>
      <c r="E183" s="1800" t="s">
        <v>2501</v>
      </c>
      <c r="F183" s="1807">
        <v>2.52E-2</v>
      </c>
      <c r="G183" s="1801">
        <v>181.12</v>
      </c>
      <c r="H183" s="1802">
        <f t="shared" si="22"/>
        <v>180.19</v>
      </c>
      <c r="I183" s="1803">
        <f t="shared" si="24"/>
        <v>4.54</v>
      </c>
      <c r="J183" s="1795"/>
    </row>
    <row r="184" spans="1:10" ht="24">
      <c r="A184" s="1797" t="s">
        <v>2476</v>
      </c>
      <c r="B184" s="1798" t="s">
        <v>2479</v>
      </c>
      <c r="C184" s="1798">
        <v>10891</v>
      </c>
      <c r="D184" s="1799" t="s">
        <v>2575</v>
      </c>
      <c r="E184" s="1800" t="s">
        <v>2501</v>
      </c>
      <c r="F184" s="1807">
        <v>2.52E-2</v>
      </c>
      <c r="G184" s="1801">
        <v>175.15</v>
      </c>
      <c r="H184" s="1802">
        <f t="shared" si="22"/>
        <v>174.25</v>
      </c>
      <c r="I184" s="1803">
        <f t="shared" si="24"/>
        <v>4.3899999999999997</v>
      </c>
      <c r="J184" s="1795"/>
    </row>
    <row r="185" spans="1:10" ht="48">
      <c r="A185" s="1797" t="s">
        <v>2476</v>
      </c>
      <c r="B185" s="1798" t="s">
        <v>2479</v>
      </c>
      <c r="C185" s="1798">
        <v>11455</v>
      </c>
      <c r="D185" s="1799" t="s">
        <v>2576</v>
      </c>
      <c r="E185" s="1800" t="s">
        <v>2501</v>
      </c>
      <c r="F185" s="1807">
        <v>2.52E-2</v>
      </c>
      <c r="G185" s="1801">
        <v>18</v>
      </c>
      <c r="H185" s="1802">
        <f t="shared" si="22"/>
        <v>17.899999999999999</v>
      </c>
      <c r="I185" s="1803">
        <f t="shared" si="24"/>
        <v>0.45</v>
      </c>
      <c r="J185" s="1795"/>
    </row>
    <row r="186" spans="1:10" ht="36">
      <c r="A186" s="1797" t="s">
        <v>2476</v>
      </c>
      <c r="B186" s="1798" t="s">
        <v>2479</v>
      </c>
      <c r="C186" s="1798">
        <v>11587</v>
      </c>
      <c r="D186" s="1799" t="s">
        <v>2506</v>
      </c>
      <c r="E186" s="1800" t="s">
        <v>1176</v>
      </c>
      <c r="F186" s="1807">
        <v>1</v>
      </c>
      <c r="G186" s="1801">
        <v>96.6</v>
      </c>
      <c r="H186" s="1802">
        <f t="shared" si="22"/>
        <v>96.1</v>
      </c>
      <c r="I186" s="1803">
        <f t="shared" si="24"/>
        <v>96.1</v>
      </c>
      <c r="J186" s="1795"/>
    </row>
    <row r="187" spans="1:10" ht="24">
      <c r="A187" s="1797" t="s">
        <v>2476</v>
      </c>
      <c r="B187" s="1798" t="s">
        <v>7</v>
      </c>
      <c r="C187" s="1798">
        <v>88262</v>
      </c>
      <c r="D187" s="1799" t="s">
        <v>441</v>
      </c>
      <c r="E187" s="1800" t="s">
        <v>411</v>
      </c>
      <c r="F187" s="1807">
        <v>0.97940000000000005</v>
      </c>
      <c r="G187" s="1801">
        <v>24.32</v>
      </c>
      <c r="H187" s="1802">
        <f t="shared" si="22"/>
        <v>24.32</v>
      </c>
      <c r="I187" s="1803">
        <f t="shared" si="24"/>
        <v>23.81</v>
      </c>
      <c r="J187" s="1795"/>
    </row>
    <row r="188" spans="1:10" ht="24">
      <c r="A188" s="1797" t="s">
        <v>2476</v>
      </c>
      <c r="B188" s="1798" t="s">
        <v>7</v>
      </c>
      <c r="C188" s="1798">
        <v>88489</v>
      </c>
      <c r="D188" s="1799" t="s">
        <v>117</v>
      </c>
      <c r="E188" s="1800" t="s">
        <v>1176</v>
      </c>
      <c r="F188" s="1807">
        <v>3.7456999999999998</v>
      </c>
      <c r="G188" s="1801">
        <v>14.99</v>
      </c>
      <c r="H188" s="1802">
        <f t="shared" si="22"/>
        <v>14.91</v>
      </c>
      <c r="I188" s="1803">
        <f t="shared" si="24"/>
        <v>55.84</v>
      </c>
      <c r="J188" s="1795"/>
    </row>
    <row r="189" spans="1:10" ht="60">
      <c r="A189" s="1797" t="s">
        <v>2476</v>
      </c>
      <c r="B189" s="1798" t="s">
        <v>7</v>
      </c>
      <c r="C189" s="1798">
        <v>91170</v>
      </c>
      <c r="D189" s="1799" t="s">
        <v>2531</v>
      </c>
      <c r="E189" s="1800" t="s">
        <v>160</v>
      </c>
      <c r="F189" s="1807">
        <v>0.25180000000000002</v>
      </c>
      <c r="G189" s="1801">
        <v>3.36</v>
      </c>
      <c r="H189" s="1802">
        <f t="shared" si="22"/>
        <v>3.34</v>
      </c>
      <c r="I189" s="1803">
        <f t="shared" si="24"/>
        <v>0.84</v>
      </c>
      <c r="J189" s="1795"/>
    </row>
    <row r="190" spans="1:10" ht="48">
      <c r="A190" s="1797" t="s">
        <v>2476</v>
      </c>
      <c r="B190" s="1798" t="s">
        <v>7</v>
      </c>
      <c r="C190" s="1798">
        <v>91173</v>
      </c>
      <c r="D190" s="1799" t="s">
        <v>2532</v>
      </c>
      <c r="E190" s="1800" t="s">
        <v>160</v>
      </c>
      <c r="F190" s="1807">
        <v>0.2266</v>
      </c>
      <c r="G190" s="1801">
        <v>1.71</v>
      </c>
      <c r="H190" s="1802">
        <f t="shared" si="22"/>
        <v>1.7</v>
      </c>
      <c r="I190" s="1803">
        <f t="shared" si="24"/>
        <v>0.38</v>
      </c>
      <c r="J190" s="1795"/>
    </row>
    <row r="191" spans="1:10" ht="36">
      <c r="A191" s="1797" t="s">
        <v>2476</v>
      </c>
      <c r="B191" s="1798" t="s">
        <v>7</v>
      </c>
      <c r="C191" s="1798">
        <v>91341</v>
      </c>
      <c r="D191" s="1799" t="s">
        <v>1438</v>
      </c>
      <c r="E191" s="1800" t="s">
        <v>1176</v>
      </c>
      <c r="F191" s="1807">
        <v>6.3399999999999998E-2</v>
      </c>
      <c r="G191" s="1801">
        <v>636.34</v>
      </c>
      <c r="H191" s="1802">
        <f t="shared" si="22"/>
        <v>633.09</v>
      </c>
      <c r="I191" s="1803">
        <f t="shared" si="24"/>
        <v>40.130000000000003</v>
      </c>
      <c r="J191" s="1795"/>
    </row>
    <row r="192" spans="1:10" ht="36">
      <c r="A192" s="1797" t="s">
        <v>2476</v>
      </c>
      <c r="B192" s="1798" t="s">
        <v>7</v>
      </c>
      <c r="C192" s="1798">
        <v>91862</v>
      </c>
      <c r="D192" s="1799" t="s">
        <v>2534</v>
      </c>
      <c r="E192" s="1800" t="s">
        <v>160</v>
      </c>
      <c r="F192" s="1807">
        <v>0.25180000000000002</v>
      </c>
      <c r="G192" s="1801">
        <v>10.33</v>
      </c>
      <c r="H192" s="1802">
        <f t="shared" si="22"/>
        <v>10.27</v>
      </c>
      <c r="I192" s="1803">
        <f t="shared" si="24"/>
        <v>2.58</v>
      </c>
      <c r="J192" s="1795"/>
    </row>
    <row r="193" spans="1:10" ht="36">
      <c r="A193" s="1797" t="s">
        <v>2476</v>
      </c>
      <c r="B193" s="1798" t="s">
        <v>7</v>
      </c>
      <c r="C193" s="1798">
        <v>91870</v>
      </c>
      <c r="D193" s="1799" t="s">
        <v>2535</v>
      </c>
      <c r="E193" s="1800" t="s">
        <v>160</v>
      </c>
      <c r="F193" s="1807">
        <v>0.2266</v>
      </c>
      <c r="G193" s="1801">
        <v>11.02</v>
      </c>
      <c r="H193" s="1802">
        <f t="shared" si="22"/>
        <v>10.96</v>
      </c>
      <c r="I193" s="1803">
        <f t="shared" si="24"/>
        <v>2.48</v>
      </c>
      <c r="J193" s="1795"/>
    </row>
    <row r="194" spans="1:10" ht="48">
      <c r="A194" s="1797" t="s">
        <v>2476</v>
      </c>
      <c r="B194" s="1798" t="s">
        <v>7</v>
      </c>
      <c r="C194" s="1798">
        <v>91911</v>
      </c>
      <c r="D194" s="1799" t="s">
        <v>2540</v>
      </c>
      <c r="E194" s="1800" t="s">
        <v>2501</v>
      </c>
      <c r="F194" s="1807">
        <v>7.5499999999999998E-2</v>
      </c>
      <c r="G194" s="1801">
        <v>12.83</v>
      </c>
      <c r="H194" s="1802">
        <f t="shared" si="22"/>
        <v>12.76</v>
      </c>
      <c r="I194" s="1803">
        <f t="shared" si="24"/>
        <v>0.96</v>
      </c>
      <c r="J194" s="1795"/>
    </row>
    <row r="195" spans="1:10" ht="36">
      <c r="A195" s="1797" t="s">
        <v>2476</v>
      </c>
      <c r="B195" s="1798" t="s">
        <v>7</v>
      </c>
      <c r="C195" s="1798">
        <v>91924</v>
      </c>
      <c r="D195" s="1799" t="s">
        <v>2541</v>
      </c>
      <c r="E195" s="1800" t="s">
        <v>160</v>
      </c>
      <c r="F195" s="1807">
        <v>0.62190000000000001</v>
      </c>
      <c r="G195" s="1801">
        <v>2.74</v>
      </c>
      <c r="H195" s="1802">
        <f t="shared" si="22"/>
        <v>2.72</v>
      </c>
      <c r="I195" s="1803">
        <f t="shared" si="24"/>
        <v>1.69</v>
      </c>
      <c r="J195" s="1795"/>
    </row>
    <row r="196" spans="1:10" ht="36">
      <c r="A196" s="1797" t="s">
        <v>2476</v>
      </c>
      <c r="B196" s="1798" t="s">
        <v>7</v>
      </c>
      <c r="C196" s="1798">
        <v>91926</v>
      </c>
      <c r="D196" s="1799" t="s">
        <v>2211</v>
      </c>
      <c r="E196" s="1800" t="s">
        <v>160</v>
      </c>
      <c r="F196" s="1807">
        <v>0.67979999999999996</v>
      </c>
      <c r="G196" s="1801">
        <v>3.97</v>
      </c>
      <c r="H196" s="1802">
        <f t="shared" si="22"/>
        <v>3.94</v>
      </c>
      <c r="I196" s="1803">
        <f t="shared" si="24"/>
        <v>2.67</v>
      </c>
      <c r="J196" s="1795"/>
    </row>
    <row r="197" spans="1:10" ht="24">
      <c r="A197" s="1797" t="s">
        <v>2476</v>
      </c>
      <c r="B197" s="1798" t="s">
        <v>7</v>
      </c>
      <c r="C197" s="1798">
        <v>91937</v>
      </c>
      <c r="D197" s="1799" t="s">
        <v>2543</v>
      </c>
      <c r="E197" s="1800" t="s">
        <v>2501</v>
      </c>
      <c r="F197" s="1807">
        <v>0.12590000000000001</v>
      </c>
      <c r="G197" s="1801">
        <v>11.07</v>
      </c>
      <c r="H197" s="1802">
        <f t="shared" si="22"/>
        <v>11.01</v>
      </c>
      <c r="I197" s="1803">
        <f t="shared" si="24"/>
        <v>1.38</v>
      </c>
      <c r="J197" s="1795"/>
    </row>
    <row r="198" spans="1:10" ht="36">
      <c r="A198" s="1797" t="s">
        <v>2476</v>
      </c>
      <c r="B198" s="1798" t="s">
        <v>7</v>
      </c>
      <c r="C198" s="1798">
        <v>92000</v>
      </c>
      <c r="D198" s="1799" t="s">
        <v>2544</v>
      </c>
      <c r="E198" s="1800" t="s">
        <v>2501</v>
      </c>
      <c r="F198" s="1807">
        <v>5.04E-2</v>
      </c>
      <c r="G198" s="1801">
        <v>25.28</v>
      </c>
      <c r="H198" s="1802">
        <f t="shared" si="22"/>
        <v>25.15</v>
      </c>
      <c r="I198" s="1803">
        <f t="shared" si="24"/>
        <v>1.26</v>
      </c>
      <c r="J198" s="1795"/>
    </row>
    <row r="199" spans="1:10" ht="36">
      <c r="A199" s="1797" t="s">
        <v>2476</v>
      </c>
      <c r="B199" s="1798" t="s">
        <v>7</v>
      </c>
      <c r="C199" s="1798">
        <v>92025</v>
      </c>
      <c r="D199" s="1799" t="s">
        <v>2577</v>
      </c>
      <c r="E199" s="1800" t="s">
        <v>2501</v>
      </c>
      <c r="F199" s="1807">
        <v>2.52E-2</v>
      </c>
      <c r="G199" s="1801">
        <v>61.28</v>
      </c>
      <c r="H199" s="1802">
        <f t="shared" si="22"/>
        <v>60.96</v>
      </c>
      <c r="I199" s="1803">
        <f t="shared" si="24"/>
        <v>1.53</v>
      </c>
      <c r="J199" s="1795"/>
    </row>
    <row r="200" spans="1:10" ht="60">
      <c r="A200" s="1797" t="s">
        <v>2476</v>
      </c>
      <c r="B200" s="1798" t="s">
        <v>7</v>
      </c>
      <c r="C200" s="1798">
        <v>92543</v>
      </c>
      <c r="D200" s="1799" t="s">
        <v>2545</v>
      </c>
      <c r="E200" s="1800" t="s">
        <v>1176</v>
      </c>
      <c r="F200" s="1807">
        <v>1.4396</v>
      </c>
      <c r="G200" s="1801">
        <v>22.25</v>
      </c>
      <c r="H200" s="1802">
        <f t="shared" si="22"/>
        <v>22.13</v>
      </c>
      <c r="I200" s="1803">
        <f t="shared" si="24"/>
        <v>31.85</v>
      </c>
      <c r="J200" s="1795"/>
    </row>
    <row r="201" spans="1:10" ht="24">
      <c r="A201" s="1797" t="s">
        <v>2476</v>
      </c>
      <c r="B201" s="1798" t="s">
        <v>7</v>
      </c>
      <c r="C201" s="1798">
        <v>93358</v>
      </c>
      <c r="D201" s="1799" t="s">
        <v>2547</v>
      </c>
      <c r="E201" s="1800" t="s">
        <v>1171</v>
      </c>
      <c r="F201" s="1807">
        <v>2.6200000000000001E-2</v>
      </c>
      <c r="G201" s="1801">
        <v>76.94</v>
      </c>
      <c r="H201" s="1802">
        <f t="shared" si="22"/>
        <v>76.540000000000006</v>
      </c>
      <c r="I201" s="1803">
        <f t="shared" si="24"/>
        <v>2</v>
      </c>
      <c r="J201" s="1795"/>
    </row>
    <row r="202" spans="1:10" ht="60">
      <c r="A202" s="1797" t="s">
        <v>2476</v>
      </c>
      <c r="B202" s="1798" t="s">
        <v>7</v>
      </c>
      <c r="C202" s="1798">
        <v>94210</v>
      </c>
      <c r="D202" s="1799" t="s">
        <v>2548</v>
      </c>
      <c r="E202" s="1800" t="s">
        <v>1176</v>
      </c>
      <c r="F202" s="1807">
        <v>1.4396</v>
      </c>
      <c r="G202" s="1801">
        <v>55.58</v>
      </c>
      <c r="H202" s="1802">
        <f t="shared" si="22"/>
        <v>55.29</v>
      </c>
      <c r="I202" s="1803">
        <f t="shared" si="24"/>
        <v>79.59</v>
      </c>
      <c r="J202" s="1795"/>
    </row>
    <row r="203" spans="1:10" ht="60">
      <c r="A203" s="1797" t="s">
        <v>2476</v>
      </c>
      <c r="B203" s="1798" t="s">
        <v>7</v>
      </c>
      <c r="C203" s="1798">
        <v>94559</v>
      </c>
      <c r="D203" s="1799" t="s">
        <v>2549</v>
      </c>
      <c r="E203" s="1800" t="s">
        <v>1176</v>
      </c>
      <c r="F203" s="1807">
        <v>7.5499999999999998E-2</v>
      </c>
      <c r="G203" s="1801">
        <v>809.19</v>
      </c>
      <c r="H203" s="1802">
        <f t="shared" si="22"/>
        <v>805.06</v>
      </c>
      <c r="I203" s="1803">
        <f t="shared" si="24"/>
        <v>60.78</v>
      </c>
      <c r="J203" s="1795"/>
    </row>
    <row r="204" spans="1:10" ht="36">
      <c r="A204" s="1797" t="s">
        <v>2476</v>
      </c>
      <c r="B204" s="1798" t="s">
        <v>7</v>
      </c>
      <c r="C204" s="1798">
        <v>95240</v>
      </c>
      <c r="D204" s="1799" t="s">
        <v>2550</v>
      </c>
      <c r="E204" s="1800" t="s">
        <v>1176</v>
      </c>
      <c r="F204" s="1807">
        <v>6.0000000000000001E-3</v>
      </c>
      <c r="G204" s="1801">
        <v>19.690000000000001</v>
      </c>
      <c r="H204" s="1802">
        <f t="shared" si="22"/>
        <v>19.579999999999998</v>
      </c>
      <c r="I204" s="1803">
        <f t="shared" si="24"/>
        <v>0.11</v>
      </c>
      <c r="J204" s="1795"/>
    </row>
    <row r="205" spans="1:10" ht="36">
      <c r="A205" s="1797" t="s">
        <v>2476</v>
      </c>
      <c r="B205" s="1798" t="s">
        <v>7</v>
      </c>
      <c r="C205" s="1798">
        <v>95241</v>
      </c>
      <c r="D205" s="1799" t="s">
        <v>2551</v>
      </c>
      <c r="E205" s="1800" t="s">
        <v>1176</v>
      </c>
      <c r="F205" s="1807">
        <v>1.4396</v>
      </c>
      <c r="G205" s="1801">
        <v>32.82</v>
      </c>
      <c r="H205" s="1802">
        <f t="shared" si="22"/>
        <v>32.65</v>
      </c>
      <c r="I205" s="1803">
        <f t="shared" si="24"/>
        <v>47</v>
      </c>
      <c r="J205" s="1795"/>
    </row>
    <row r="206" spans="1:10" ht="36">
      <c r="A206" s="1797" t="s">
        <v>2476</v>
      </c>
      <c r="B206" s="1798" t="s">
        <v>7</v>
      </c>
      <c r="C206" s="1798">
        <v>95805</v>
      </c>
      <c r="D206" s="1799" t="s">
        <v>2552</v>
      </c>
      <c r="E206" s="1800" t="s">
        <v>2501</v>
      </c>
      <c r="F206" s="1807">
        <v>5.04E-2</v>
      </c>
      <c r="G206" s="1801">
        <v>21.95</v>
      </c>
      <c r="H206" s="1802">
        <f t="shared" si="22"/>
        <v>21.83</v>
      </c>
      <c r="I206" s="1803">
        <f t="shared" si="24"/>
        <v>1.1000000000000001</v>
      </c>
      <c r="J206" s="1795"/>
    </row>
    <row r="207" spans="1:10" ht="36">
      <c r="A207" s="1797" t="s">
        <v>2476</v>
      </c>
      <c r="B207" s="1798" t="s">
        <v>7</v>
      </c>
      <c r="C207" s="1798">
        <v>95811</v>
      </c>
      <c r="D207" s="1799" t="s">
        <v>2553</v>
      </c>
      <c r="E207" s="1800" t="s">
        <v>2501</v>
      </c>
      <c r="F207" s="1807">
        <v>2.52E-2</v>
      </c>
      <c r="G207" s="1801">
        <v>18.739999999999998</v>
      </c>
      <c r="H207" s="1802">
        <f t="shared" si="22"/>
        <v>18.64</v>
      </c>
      <c r="I207" s="1803">
        <f t="shared" si="24"/>
        <v>0.46</v>
      </c>
      <c r="J207" s="1795"/>
    </row>
    <row r="208" spans="1:10" ht="24">
      <c r="A208" s="1797" t="s">
        <v>2476</v>
      </c>
      <c r="B208" s="1798" t="s">
        <v>7</v>
      </c>
      <c r="C208" s="1798">
        <v>96995</v>
      </c>
      <c r="D208" s="1799" t="s">
        <v>414</v>
      </c>
      <c r="E208" s="1800" t="s">
        <v>1171</v>
      </c>
      <c r="F208" s="1807">
        <v>6.7000000000000002E-3</v>
      </c>
      <c r="G208" s="1801">
        <v>46.65</v>
      </c>
      <c r="H208" s="1802">
        <f t="shared" si="22"/>
        <v>46.41</v>
      </c>
      <c r="I208" s="1803">
        <f t="shared" si="24"/>
        <v>0.31</v>
      </c>
      <c r="J208" s="1795"/>
    </row>
    <row r="209" spans="1:10" ht="48">
      <c r="A209" s="1797" t="s">
        <v>2476</v>
      </c>
      <c r="B209" s="1798" t="s">
        <v>7</v>
      </c>
      <c r="C209" s="1798">
        <v>97586</v>
      </c>
      <c r="D209" s="1799" t="s">
        <v>2555</v>
      </c>
      <c r="E209" s="1800" t="s">
        <v>2501</v>
      </c>
      <c r="F209" s="1807">
        <v>0.1007</v>
      </c>
      <c r="G209" s="1801">
        <v>153.35</v>
      </c>
      <c r="H209" s="1802">
        <f t="shared" si="22"/>
        <v>152.56</v>
      </c>
      <c r="I209" s="1803">
        <f t="shared" si="24"/>
        <v>15.36</v>
      </c>
      <c r="J209" s="1795"/>
    </row>
    <row r="210" spans="1:10" ht="36">
      <c r="A210" s="1797" t="s">
        <v>2476</v>
      </c>
      <c r="B210" s="1798" t="s">
        <v>7</v>
      </c>
      <c r="C210" s="1798">
        <v>97593</v>
      </c>
      <c r="D210" s="1799" t="s">
        <v>2578</v>
      </c>
      <c r="E210" s="1800" t="s">
        <v>2501</v>
      </c>
      <c r="F210" s="1807">
        <v>2.52E-2</v>
      </c>
      <c r="G210" s="1801">
        <v>134.5</v>
      </c>
      <c r="H210" s="1802">
        <f t="shared" si="22"/>
        <v>133.81</v>
      </c>
      <c r="I210" s="1803">
        <f t="shared" si="24"/>
        <v>3.37</v>
      </c>
      <c r="J210" s="1795"/>
    </row>
    <row r="211" spans="1:10" ht="24">
      <c r="A211" s="1797" t="s">
        <v>2476</v>
      </c>
      <c r="B211" s="1798" t="s">
        <v>7</v>
      </c>
      <c r="C211" s="1798">
        <v>97611</v>
      </c>
      <c r="D211" s="1799" t="s">
        <v>2579</v>
      </c>
      <c r="E211" s="1800" t="s">
        <v>2501</v>
      </c>
      <c r="F211" s="1807">
        <v>2.52E-2</v>
      </c>
      <c r="G211" s="1801">
        <v>18.77</v>
      </c>
      <c r="H211" s="1802">
        <f t="shared" si="22"/>
        <v>18.670000000000002</v>
      </c>
      <c r="I211" s="1803">
        <f t="shared" si="24"/>
        <v>0.47</v>
      </c>
      <c r="J211" s="1795"/>
    </row>
    <row r="212" spans="1:10" ht="48">
      <c r="A212" s="1797" t="s">
        <v>2476</v>
      </c>
      <c r="B212" s="1798" t="s">
        <v>7</v>
      </c>
      <c r="C212" s="1798">
        <v>98441</v>
      </c>
      <c r="D212" s="1799" t="s">
        <v>2558</v>
      </c>
      <c r="E212" s="1800" t="s">
        <v>1176</v>
      </c>
      <c r="F212" s="1807">
        <v>0.35170000000000001</v>
      </c>
      <c r="G212" s="1801">
        <v>159.15</v>
      </c>
      <c r="H212" s="1802">
        <f t="shared" si="22"/>
        <v>158.33000000000001</v>
      </c>
      <c r="I212" s="1803">
        <f t="shared" si="24"/>
        <v>55.68</v>
      </c>
      <c r="J212" s="1795"/>
    </row>
    <row r="213" spans="1:10" ht="36">
      <c r="A213" s="1797" t="s">
        <v>2476</v>
      </c>
      <c r="B213" s="1798" t="s">
        <v>7</v>
      </c>
      <c r="C213" s="1798">
        <v>98442</v>
      </c>
      <c r="D213" s="1799" t="s">
        <v>2559</v>
      </c>
      <c r="E213" s="1800" t="s">
        <v>1176</v>
      </c>
      <c r="F213" s="1807">
        <v>0.40479999999999999</v>
      </c>
      <c r="G213" s="1801">
        <v>162.19</v>
      </c>
      <c r="H213" s="1802">
        <f t="shared" si="22"/>
        <v>161.36000000000001</v>
      </c>
      <c r="I213" s="1803">
        <f t="shared" si="24"/>
        <v>65.31</v>
      </c>
      <c r="J213" s="1795"/>
    </row>
    <row r="214" spans="1:10" ht="48">
      <c r="A214" s="1797" t="s">
        <v>2476</v>
      </c>
      <c r="B214" s="1798" t="s">
        <v>7</v>
      </c>
      <c r="C214" s="1798">
        <v>98443</v>
      </c>
      <c r="D214" s="1799" t="s">
        <v>2560</v>
      </c>
      <c r="E214" s="1800" t="s">
        <v>1176</v>
      </c>
      <c r="F214" s="1807">
        <v>2.81E-2</v>
      </c>
      <c r="G214" s="1801">
        <v>141.4</v>
      </c>
      <c r="H214" s="1802">
        <f t="shared" si="22"/>
        <v>140.66999999999999</v>
      </c>
      <c r="I214" s="1803">
        <f t="shared" si="24"/>
        <v>3.95</v>
      </c>
      <c r="J214" s="1795"/>
    </row>
    <row r="215" spans="1:10" ht="36">
      <c r="A215" s="1797" t="s">
        <v>2476</v>
      </c>
      <c r="B215" s="1798" t="s">
        <v>7</v>
      </c>
      <c r="C215" s="1798">
        <v>98444</v>
      </c>
      <c r="D215" s="1799" t="s">
        <v>2561</v>
      </c>
      <c r="E215" s="1800" t="s">
        <v>1176</v>
      </c>
      <c r="F215" s="1807">
        <v>3.2300000000000002E-2</v>
      </c>
      <c r="G215" s="1801">
        <v>143.59</v>
      </c>
      <c r="H215" s="1802">
        <f t="shared" si="22"/>
        <v>142.85</v>
      </c>
      <c r="I215" s="1803">
        <f t="shared" si="24"/>
        <v>4.6100000000000003</v>
      </c>
      <c r="J215" s="1795"/>
    </row>
    <row r="216" spans="1:10" ht="48">
      <c r="A216" s="1797" t="s">
        <v>2476</v>
      </c>
      <c r="B216" s="1798" t="s">
        <v>7</v>
      </c>
      <c r="C216" s="1798">
        <v>98445</v>
      </c>
      <c r="D216" s="1799" t="s">
        <v>2562</v>
      </c>
      <c r="E216" s="1800" t="s">
        <v>1176</v>
      </c>
      <c r="F216" s="1807">
        <v>0.54949999999999999</v>
      </c>
      <c r="G216" s="1801">
        <v>188.28</v>
      </c>
      <c r="H216" s="1802">
        <f t="shared" si="22"/>
        <v>187.31</v>
      </c>
      <c r="I216" s="1803">
        <f t="shared" si="24"/>
        <v>102.92</v>
      </c>
      <c r="J216" s="1795"/>
    </row>
    <row r="217" spans="1:10" ht="36">
      <c r="A217" s="1797" t="s">
        <v>2476</v>
      </c>
      <c r="B217" s="1798" t="s">
        <v>7</v>
      </c>
      <c r="C217" s="1798">
        <v>98446</v>
      </c>
      <c r="D217" s="1799" t="s">
        <v>2563</v>
      </c>
      <c r="E217" s="1800" t="s">
        <v>1176</v>
      </c>
      <c r="F217" s="1807">
        <v>0.4284</v>
      </c>
      <c r="G217" s="1801">
        <v>236.73</v>
      </c>
      <c r="H217" s="1802">
        <f t="shared" si="22"/>
        <v>235.52</v>
      </c>
      <c r="I217" s="1803">
        <f t="shared" si="23"/>
        <v>100.89</v>
      </c>
      <c r="J217" s="1795"/>
    </row>
    <row r="218" spans="1:10" ht="48">
      <c r="A218" s="1797" t="s">
        <v>2476</v>
      </c>
      <c r="B218" s="1798" t="s">
        <v>7</v>
      </c>
      <c r="C218" s="1798">
        <v>98447</v>
      </c>
      <c r="D218" s="1799" t="s">
        <v>2564</v>
      </c>
      <c r="E218" s="1800" t="s">
        <v>1176</v>
      </c>
      <c r="F218" s="1807">
        <v>4.3900000000000002E-2</v>
      </c>
      <c r="G218" s="1801">
        <v>163.54</v>
      </c>
      <c r="H218" s="1802">
        <f t="shared" si="22"/>
        <v>162.69999999999999</v>
      </c>
      <c r="I218" s="1803">
        <f t="shared" si="23"/>
        <v>7.14</v>
      </c>
      <c r="J218" s="1795"/>
    </row>
    <row r="219" spans="1:10" ht="36">
      <c r="A219" s="1797" t="s">
        <v>2476</v>
      </c>
      <c r="B219" s="1798" t="s">
        <v>7</v>
      </c>
      <c r="C219" s="1798">
        <v>98448</v>
      </c>
      <c r="D219" s="1799" t="s">
        <v>2565</v>
      </c>
      <c r="E219" s="1800" t="s">
        <v>1176</v>
      </c>
      <c r="F219" s="1807">
        <v>3.4200000000000001E-2</v>
      </c>
      <c r="G219" s="1801">
        <v>201.14</v>
      </c>
      <c r="H219" s="1802">
        <f t="shared" si="22"/>
        <v>200.11</v>
      </c>
      <c r="I219" s="1803">
        <f t="shared" si="23"/>
        <v>6.84</v>
      </c>
      <c r="J219" s="1795"/>
    </row>
    <row r="220" spans="1:10" ht="48">
      <c r="A220" s="1797" t="s">
        <v>2476</v>
      </c>
      <c r="B220" s="1798" t="s">
        <v>7</v>
      </c>
      <c r="C220" s="1798">
        <v>101165</v>
      </c>
      <c r="D220" s="1799" t="s">
        <v>2568</v>
      </c>
      <c r="E220" s="1800" t="s">
        <v>1171</v>
      </c>
      <c r="F220" s="1807">
        <v>2.69E-2</v>
      </c>
      <c r="G220" s="1801">
        <v>929.85</v>
      </c>
      <c r="H220" s="1802">
        <f t="shared" si="22"/>
        <v>925.1</v>
      </c>
      <c r="I220" s="1803">
        <f t="shared" si="23"/>
        <v>24.88</v>
      </c>
      <c r="J220" s="1795"/>
    </row>
    <row r="221" spans="1:10" ht="36">
      <c r="A221" s="1797" t="s">
        <v>2476</v>
      </c>
      <c r="B221" s="1798" t="s">
        <v>7</v>
      </c>
      <c r="C221" s="1798">
        <v>101876</v>
      </c>
      <c r="D221" s="1799" t="s">
        <v>2569</v>
      </c>
      <c r="E221" s="1800" t="s">
        <v>2501</v>
      </c>
      <c r="F221" s="1807">
        <v>2.52E-2</v>
      </c>
      <c r="G221" s="1801">
        <v>79.739999999999995</v>
      </c>
      <c r="H221" s="1802">
        <f t="shared" si="22"/>
        <v>79.33</v>
      </c>
      <c r="I221" s="1803">
        <f t="shared" si="23"/>
        <v>1.99</v>
      </c>
      <c r="J221" s="1795"/>
    </row>
    <row r="222" spans="1:10" ht="36">
      <c r="A222" s="1797" t="s">
        <v>2476</v>
      </c>
      <c r="B222" s="1798" t="s">
        <v>7</v>
      </c>
      <c r="C222" s="1798">
        <v>101891</v>
      </c>
      <c r="D222" s="1799" t="s">
        <v>2570</v>
      </c>
      <c r="E222" s="1800" t="s">
        <v>2501</v>
      </c>
      <c r="F222" s="1807">
        <v>5.04E-2</v>
      </c>
      <c r="G222" s="1801">
        <v>29.68</v>
      </c>
      <c r="H222" s="1802">
        <f t="shared" si="22"/>
        <v>29.52</v>
      </c>
      <c r="I222" s="1803">
        <f t="shared" si="23"/>
        <v>1.48</v>
      </c>
      <c r="J222" s="1795"/>
    </row>
    <row r="223" spans="1:10">
      <c r="A223" s="1943" t="s">
        <v>2477</v>
      </c>
      <c r="B223" s="1944"/>
      <c r="C223" s="1944"/>
      <c r="D223" s="1944"/>
      <c r="E223" s="1944"/>
      <c r="F223" s="1944"/>
      <c r="G223" s="1944"/>
      <c r="H223" s="1945"/>
      <c r="I223" s="1805">
        <f>SUM(I181:I222)</f>
        <v>957.71</v>
      </c>
      <c r="J223" s="1795"/>
    </row>
    <row r="224" spans="1:10">
      <c r="A224" s="1929"/>
      <c r="B224" s="1930"/>
      <c r="C224" s="1930"/>
      <c r="D224" s="1930"/>
      <c r="E224" s="1930"/>
      <c r="F224" s="1930"/>
      <c r="G224" s="1930"/>
      <c r="H224" s="1930"/>
      <c r="I224" s="1931"/>
      <c r="J224" s="1795"/>
    </row>
    <row r="225" spans="1:10" ht="26.25" customHeight="1">
      <c r="A225" s="1784">
        <f>'PLANILHA SEM DESON'!B29</f>
        <v>93210</v>
      </c>
      <c r="B225" s="1940" t="str">
        <f>VLOOKUP(A225,'PLANILHA SEM DESON'!$B$17:$D$1700,2,FALSE)</f>
        <v>EXECUÇÃO DE REFEITÓRIO EM CANTEIRO DE OBRA EM CHAPA DE MADEIRA COMPENSADA, NÃO INCLUSO MOBILIÁRIO E EQUIPAMENTOS. AF_02/2016</v>
      </c>
      <c r="C225" s="1941"/>
      <c r="D225" s="1941"/>
      <c r="E225" s="1941"/>
      <c r="F225" s="1941"/>
      <c r="G225" s="1941"/>
      <c r="H225" s="1942"/>
      <c r="I225" s="1785" t="str">
        <f>VLOOKUP(A225,'PLANILHA SEM DESON'!$B$17:$D$1700,3,FALSE)</f>
        <v>m131</v>
      </c>
      <c r="J225" s="1786">
        <f>I270</f>
        <v>625.69000000000005</v>
      </c>
    </row>
    <row r="226" spans="1:10" ht="24">
      <c r="A226" s="1788" t="s">
        <v>2470</v>
      </c>
      <c r="B226" s="1789" t="s">
        <v>2471</v>
      </c>
      <c r="C226" s="1790" t="s">
        <v>2468</v>
      </c>
      <c r="D226" s="1791" t="s">
        <v>308</v>
      </c>
      <c r="E226" s="1790" t="s">
        <v>202</v>
      </c>
      <c r="F226" s="1792" t="s">
        <v>2472</v>
      </c>
      <c r="G226" s="1790" t="s">
        <v>2473</v>
      </c>
      <c r="H226" s="1793" t="s">
        <v>2474</v>
      </c>
      <c r="I226" s="1794" t="s">
        <v>2475</v>
      </c>
      <c r="J226" s="1795"/>
    </row>
    <row r="227" spans="1:10" ht="60">
      <c r="A227" s="1797" t="s">
        <v>2476</v>
      </c>
      <c r="B227" s="1798" t="s">
        <v>2479</v>
      </c>
      <c r="C227" s="1798">
        <v>3080</v>
      </c>
      <c r="D227" s="1799" t="s">
        <v>2502</v>
      </c>
      <c r="E227" s="1800" t="s">
        <v>2503</v>
      </c>
      <c r="F227" s="1807">
        <v>2.6800000000000001E-2</v>
      </c>
      <c r="G227" s="1801">
        <v>79.900000000000006</v>
      </c>
      <c r="H227" s="1802">
        <f t="shared" ref="H227:H269" si="25">IF(E227="H",G227,TRUNC(G227*(1-$K$7),2))</f>
        <v>79.489999999999995</v>
      </c>
      <c r="I227" s="1803">
        <f t="shared" ref="I227:I269" si="26">TRUNC(H227*F227,2)</f>
        <v>2.13</v>
      </c>
      <c r="J227" s="1795"/>
    </row>
    <row r="228" spans="1:10" ht="24">
      <c r="A228" s="1797" t="s">
        <v>2476</v>
      </c>
      <c r="B228" s="1798" t="s">
        <v>2479</v>
      </c>
      <c r="C228" s="1798">
        <v>10886</v>
      </c>
      <c r="D228" s="1799" t="s">
        <v>2574</v>
      </c>
      <c r="E228" s="1800" t="s">
        <v>2501</v>
      </c>
      <c r="F228" s="1807">
        <v>2.6800000000000001E-2</v>
      </c>
      <c r="G228" s="1801">
        <v>181.12</v>
      </c>
      <c r="H228" s="1802">
        <f t="shared" si="25"/>
        <v>180.19</v>
      </c>
      <c r="I228" s="1803">
        <f t="shared" ref="I228:I263" si="27">TRUNC(H228*F228,2)</f>
        <v>4.82</v>
      </c>
      <c r="J228" s="1795"/>
    </row>
    <row r="229" spans="1:10" ht="24">
      <c r="A229" s="1797" t="s">
        <v>2476</v>
      </c>
      <c r="B229" s="1798" t="s">
        <v>2479</v>
      </c>
      <c r="C229" s="1798">
        <v>10891</v>
      </c>
      <c r="D229" s="1799" t="s">
        <v>2575</v>
      </c>
      <c r="E229" s="1800" t="s">
        <v>2501</v>
      </c>
      <c r="F229" s="1807">
        <v>2.6800000000000001E-2</v>
      </c>
      <c r="G229" s="1801">
        <v>175.15</v>
      </c>
      <c r="H229" s="1802">
        <f t="shared" si="25"/>
        <v>174.25</v>
      </c>
      <c r="I229" s="1803">
        <f t="shared" si="27"/>
        <v>4.66</v>
      </c>
      <c r="J229" s="1795"/>
    </row>
    <row r="230" spans="1:10" ht="36">
      <c r="A230" s="1797" t="s">
        <v>2476</v>
      </c>
      <c r="B230" s="1798" t="s">
        <v>2479</v>
      </c>
      <c r="C230" s="1798">
        <v>11587</v>
      </c>
      <c r="D230" s="1799" t="s">
        <v>2506</v>
      </c>
      <c r="E230" s="1800" t="s">
        <v>1176</v>
      </c>
      <c r="F230" s="1807">
        <v>1</v>
      </c>
      <c r="G230" s="1801">
        <v>96.6</v>
      </c>
      <c r="H230" s="1802">
        <f t="shared" si="25"/>
        <v>96.1</v>
      </c>
      <c r="I230" s="1803">
        <f t="shared" si="27"/>
        <v>96.1</v>
      </c>
      <c r="J230" s="1795"/>
    </row>
    <row r="231" spans="1:10" ht="36">
      <c r="A231" s="1797" t="s">
        <v>2476</v>
      </c>
      <c r="B231" s="1798" t="s">
        <v>2479</v>
      </c>
      <c r="C231" s="1798">
        <v>37525</v>
      </c>
      <c r="D231" s="1799" t="s">
        <v>2580</v>
      </c>
      <c r="E231" s="1800" t="s">
        <v>160</v>
      </c>
      <c r="F231" s="1807">
        <v>1.2782</v>
      </c>
      <c r="G231" s="1801">
        <v>3.95</v>
      </c>
      <c r="H231" s="1802">
        <f t="shared" si="25"/>
        <v>3.92</v>
      </c>
      <c r="I231" s="1803">
        <f t="shared" si="27"/>
        <v>5.01</v>
      </c>
      <c r="J231" s="1795"/>
    </row>
    <row r="232" spans="1:10" ht="72">
      <c r="A232" s="1797" t="s">
        <v>2476</v>
      </c>
      <c r="B232" s="1798" t="s">
        <v>7</v>
      </c>
      <c r="C232" s="1798">
        <v>86934</v>
      </c>
      <c r="D232" s="1799" t="s">
        <v>2581</v>
      </c>
      <c r="E232" s="1800" t="s">
        <v>2501</v>
      </c>
      <c r="F232" s="1807">
        <v>2.6800000000000001E-2</v>
      </c>
      <c r="G232" s="1801">
        <v>450.05</v>
      </c>
      <c r="H232" s="1802">
        <f t="shared" si="25"/>
        <v>447.75</v>
      </c>
      <c r="I232" s="1803">
        <f t="shared" si="27"/>
        <v>11.99</v>
      </c>
      <c r="J232" s="1795"/>
    </row>
    <row r="233" spans="1:10" ht="60">
      <c r="A233" s="1797" t="s">
        <v>2476</v>
      </c>
      <c r="B233" s="1798" t="s">
        <v>7</v>
      </c>
      <c r="C233" s="1798">
        <v>86943</v>
      </c>
      <c r="D233" s="1799" t="s">
        <v>1828</v>
      </c>
      <c r="E233" s="1800" t="s">
        <v>2501</v>
      </c>
      <c r="F233" s="1807">
        <v>2.6800000000000001E-2</v>
      </c>
      <c r="G233" s="1801">
        <v>262.18</v>
      </c>
      <c r="H233" s="1802">
        <f t="shared" si="25"/>
        <v>260.83999999999997</v>
      </c>
      <c r="I233" s="1803">
        <f t="shared" si="27"/>
        <v>6.99</v>
      </c>
      <c r="J233" s="1795"/>
    </row>
    <row r="234" spans="1:10" ht="24">
      <c r="A234" s="1797" t="s">
        <v>2476</v>
      </c>
      <c r="B234" s="1798" t="s">
        <v>7</v>
      </c>
      <c r="C234" s="1798">
        <v>88262</v>
      </c>
      <c r="D234" s="1799" t="s">
        <v>441</v>
      </c>
      <c r="E234" s="1800" t="s">
        <v>411</v>
      </c>
      <c r="F234" s="1807">
        <v>1.1154999999999999</v>
      </c>
      <c r="G234" s="1801">
        <v>24.32</v>
      </c>
      <c r="H234" s="1802">
        <f t="shared" si="25"/>
        <v>24.32</v>
      </c>
      <c r="I234" s="1803">
        <f t="shared" si="27"/>
        <v>27.12</v>
      </c>
      <c r="J234" s="1795"/>
    </row>
    <row r="235" spans="1:10" ht="24">
      <c r="A235" s="1797" t="s">
        <v>2476</v>
      </c>
      <c r="B235" s="1798" t="s">
        <v>7</v>
      </c>
      <c r="C235" s="1798">
        <v>88489</v>
      </c>
      <c r="D235" s="1799" t="s">
        <v>117</v>
      </c>
      <c r="E235" s="1800" t="s">
        <v>1176</v>
      </c>
      <c r="F235" s="1807">
        <v>1.4293</v>
      </c>
      <c r="G235" s="1801">
        <v>14.99</v>
      </c>
      <c r="H235" s="1802">
        <f t="shared" si="25"/>
        <v>14.91</v>
      </c>
      <c r="I235" s="1803">
        <f t="shared" si="27"/>
        <v>21.31</v>
      </c>
      <c r="J235" s="1795"/>
    </row>
    <row r="236" spans="1:10" ht="36">
      <c r="A236" s="1797" t="s">
        <v>2476</v>
      </c>
      <c r="B236" s="1798" t="s">
        <v>7</v>
      </c>
      <c r="C236" s="1798">
        <v>89711</v>
      </c>
      <c r="D236" s="1799" t="s">
        <v>2519</v>
      </c>
      <c r="E236" s="1800" t="s">
        <v>160</v>
      </c>
      <c r="F236" s="1807">
        <v>8.8599999999999998E-2</v>
      </c>
      <c r="G236" s="1801">
        <v>21.07</v>
      </c>
      <c r="H236" s="1802">
        <f t="shared" si="25"/>
        <v>20.96</v>
      </c>
      <c r="I236" s="1803">
        <f t="shared" si="27"/>
        <v>1.85</v>
      </c>
      <c r="J236" s="1795"/>
    </row>
    <row r="237" spans="1:10" ht="36">
      <c r="A237" s="1797" t="s">
        <v>2476</v>
      </c>
      <c r="B237" s="1798" t="s">
        <v>7</v>
      </c>
      <c r="C237" s="1798">
        <v>89714</v>
      </c>
      <c r="D237" s="1799" t="s">
        <v>2521</v>
      </c>
      <c r="E237" s="1800" t="s">
        <v>160</v>
      </c>
      <c r="F237" s="1807">
        <v>0.14230000000000001</v>
      </c>
      <c r="G237" s="1801">
        <v>41.92</v>
      </c>
      <c r="H237" s="1802">
        <f t="shared" si="25"/>
        <v>41.7</v>
      </c>
      <c r="I237" s="1803">
        <f t="shared" si="27"/>
        <v>5.93</v>
      </c>
      <c r="J237" s="1795"/>
    </row>
    <row r="238" spans="1:10" ht="48">
      <c r="A238" s="1797" t="s">
        <v>2476</v>
      </c>
      <c r="B238" s="1798" t="s">
        <v>7</v>
      </c>
      <c r="C238" s="1798">
        <v>89724</v>
      </c>
      <c r="D238" s="1799" t="s">
        <v>2522</v>
      </c>
      <c r="E238" s="1800" t="s">
        <v>2501</v>
      </c>
      <c r="F238" s="1807">
        <v>5.3699999999999998E-2</v>
      </c>
      <c r="G238" s="1801">
        <v>12.96</v>
      </c>
      <c r="H238" s="1802">
        <f t="shared" si="25"/>
        <v>12.89</v>
      </c>
      <c r="I238" s="1803">
        <f t="shared" si="27"/>
        <v>0.69</v>
      </c>
      <c r="J238" s="1795"/>
    </row>
    <row r="239" spans="1:10" ht="48">
      <c r="A239" s="1797" t="s">
        <v>2476</v>
      </c>
      <c r="B239" s="1798" t="s">
        <v>7</v>
      </c>
      <c r="C239" s="1798">
        <v>89957</v>
      </c>
      <c r="D239" s="1799" t="s">
        <v>2526</v>
      </c>
      <c r="E239" s="1800" t="s">
        <v>2501</v>
      </c>
      <c r="F239" s="1807">
        <v>5.3699999999999998E-2</v>
      </c>
      <c r="G239" s="1801">
        <v>145.26</v>
      </c>
      <c r="H239" s="1802">
        <f t="shared" si="25"/>
        <v>144.51</v>
      </c>
      <c r="I239" s="1803">
        <f t="shared" si="27"/>
        <v>7.76</v>
      </c>
      <c r="J239" s="1795"/>
    </row>
    <row r="240" spans="1:10" ht="48">
      <c r="A240" s="1797" t="s">
        <v>2476</v>
      </c>
      <c r="B240" s="1798" t="s">
        <v>7</v>
      </c>
      <c r="C240" s="1798">
        <v>90822</v>
      </c>
      <c r="D240" s="1799" t="s">
        <v>2530</v>
      </c>
      <c r="E240" s="1800" t="s">
        <v>2501</v>
      </c>
      <c r="F240" s="1807">
        <v>2.6800000000000001E-2</v>
      </c>
      <c r="G240" s="1801">
        <v>396.29</v>
      </c>
      <c r="H240" s="1802">
        <f t="shared" si="25"/>
        <v>394.26</v>
      </c>
      <c r="I240" s="1803">
        <f t="shared" si="27"/>
        <v>10.56</v>
      </c>
      <c r="J240" s="1795"/>
    </row>
    <row r="241" spans="1:10" ht="60">
      <c r="A241" s="1797" t="s">
        <v>2476</v>
      </c>
      <c r="B241" s="1798" t="s">
        <v>7</v>
      </c>
      <c r="C241" s="1798">
        <v>91170</v>
      </c>
      <c r="D241" s="1799" t="s">
        <v>2531</v>
      </c>
      <c r="E241" s="1800" t="s">
        <v>160</v>
      </c>
      <c r="F241" s="1807">
        <v>0.3221</v>
      </c>
      <c r="G241" s="1801">
        <v>3.36</v>
      </c>
      <c r="H241" s="1802">
        <f t="shared" si="25"/>
        <v>3.34</v>
      </c>
      <c r="I241" s="1803">
        <f t="shared" si="27"/>
        <v>1.07</v>
      </c>
      <c r="J241" s="1795"/>
    </row>
    <row r="242" spans="1:10" ht="48">
      <c r="A242" s="1797" t="s">
        <v>2476</v>
      </c>
      <c r="B242" s="1798" t="s">
        <v>7</v>
      </c>
      <c r="C242" s="1798">
        <v>91173</v>
      </c>
      <c r="D242" s="1799" t="s">
        <v>2532</v>
      </c>
      <c r="E242" s="1800" t="s">
        <v>160</v>
      </c>
      <c r="F242" s="1807">
        <v>0.53690000000000004</v>
      </c>
      <c r="G242" s="1801">
        <v>1.71</v>
      </c>
      <c r="H242" s="1802">
        <f t="shared" si="25"/>
        <v>1.7</v>
      </c>
      <c r="I242" s="1803">
        <f t="shared" si="27"/>
        <v>0.91</v>
      </c>
      <c r="J242" s="1795"/>
    </row>
    <row r="243" spans="1:10" ht="36">
      <c r="A243" s="1797" t="s">
        <v>2476</v>
      </c>
      <c r="B243" s="1798" t="s">
        <v>7</v>
      </c>
      <c r="C243" s="1798">
        <v>91862</v>
      </c>
      <c r="D243" s="1799" t="s">
        <v>2534</v>
      </c>
      <c r="E243" s="1800" t="s">
        <v>160</v>
      </c>
      <c r="F243" s="1807">
        <v>0.3221</v>
      </c>
      <c r="G243" s="1801">
        <v>10.33</v>
      </c>
      <c r="H243" s="1802">
        <f t="shared" si="25"/>
        <v>10.27</v>
      </c>
      <c r="I243" s="1803">
        <f t="shared" si="27"/>
        <v>3.3</v>
      </c>
      <c r="J243" s="1795"/>
    </row>
    <row r="244" spans="1:10" ht="36">
      <c r="A244" s="1797" t="s">
        <v>2476</v>
      </c>
      <c r="B244" s="1798" t="s">
        <v>7</v>
      </c>
      <c r="C244" s="1798">
        <v>91870</v>
      </c>
      <c r="D244" s="1799" t="s">
        <v>2535</v>
      </c>
      <c r="E244" s="1800" t="s">
        <v>160</v>
      </c>
      <c r="F244" s="1807">
        <v>0.53690000000000004</v>
      </c>
      <c r="G244" s="1801">
        <v>11.02</v>
      </c>
      <c r="H244" s="1802">
        <f t="shared" si="25"/>
        <v>10.96</v>
      </c>
      <c r="I244" s="1803">
        <f t="shared" si="27"/>
        <v>5.88</v>
      </c>
      <c r="J244" s="1795"/>
    </row>
    <row r="245" spans="1:10" ht="48">
      <c r="A245" s="1797" t="s">
        <v>2476</v>
      </c>
      <c r="B245" s="1798" t="s">
        <v>7</v>
      </c>
      <c r="C245" s="1798">
        <v>91911</v>
      </c>
      <c r="D245" s="1799" t="s">
        <v>2540</v>
      </c>
      <c r="E245" s="1800" t="s">
        <v>2501</v>
      </c>
      <c r="F245" s="1807">
        <v>0.1074</v>
      </c>
      <c r="G245" s="1801">
        <v>12.83</v>
      </c>
      <c r="H245" s="1802">
        <f t="shared" si="25"/>
        <v>12.76</v>
      </c>
      <c r="I245" s="1803">
        <f t="shared" si="27"/>
        <v>1.37</v>
      </c>
      <c r="J245" s="1795"/>
    </row>
    <row r="246" spans="1:10" ht="36">
      <c r="A246" s="1797" t="s">
        <v>2476</v>
      </c>
      <c r="B246" s="1798" t="s">
        <v>7</v>
      </c>
      <c r="C246" s="1798">
        <v>91924</v>
      </c>
      <c r="D246" s="1799" t="s">
        <v>2541</v>
      </c>
      <c r="E246" s="1800" t="s">
        <v>160</v>
      </c>
      <c r="F246" s="1807">
        <v>0.85909999999999997</v>
      </c>
      <c r="G246" s="1801">
        <v>2.74</v>
      </c>
      <c r="H246" s="1802">
        <f t="shared" si="25"/>
        <v>2.72</v>
      </c>
      <c r="I246" s="1803">
        <f t="shared" si="27"/>
        <v>2.33</v>
      </c>
      <c r="J246" s="1795"/>
    </row>
    <row r="247" spans="1:10" ht="36">
      <c r="A247" s="1797" t="s">
        <v>2476</v>
      </c>
      <c r="B247" s="1798" t="s">
        <v>7</v>
      </c>
      <c r="C247" s="1798">
        <v>91926</v>
      </c>
      <c r="D247" s="1799" t="s">
        <v>2211</v>
      </c>
      <c r="E247" s="1800" t="s">
        <v>160</v>
      </c>
      <c r="F247" s="1807">
        <v>2.5503</v>
      </c>
      <c r="G247" s="1801">
        <v>3.97</v>
      </c>
      <c r="H247" s="1802">
        <f t="shared" si="25"/>
        <v>3.94</v>
      </c>
      <c r="I247" s="1803">
        <f t="shared" si="27"/>
        <v>10.039999999999999</v>
      </c>
      <c r="J247" s="1795"/>
    </row>
    <row r="248" spans="1:10" ht="24">
      <c r="A248" s="1797" t="s">
        <v>2476</v>
      </c>
      <c r="B248" s="1798" t="s">
        <v>7</v>
      </c>
      <c r="C248" s="1798">
        <v>91937</v>
      </c>
      <c r="D248" s="1799" t="s">
        <v>2543</v>
      </c>
      <c r="E248" s="1800" t="s">
        <v>2501</v>
      </c>
      <c r="F248" s="1807">
        <v>0.16109999999999999</v>
      </c>
      <c r="G248" s="1801">
        <v>11.07</v>
      </c>
      <c r="H248" s="1802">
        <f t="shared" si="25"/>
        <v>11.01</v>
      </c>
      <c r="I248" s="1803">
        <f t="shared" si="27"/>
        <v>1.77</v>
      </c>
      <c r="J248" s="1795"/>
    </row>
    <row r="249" spans="1:10" ht="36">
      <c r="A249" s="1797" t="s">
        <v>2476</v>
      </c>
      <c r="B249" s="1798" t="s">
        <v>7</v>
      </c>
      <c r="C249" s="1798">
        <v>92000</v>
      </c>
      <c r="D249" s="1799" t="s">
        <v>2544</v>
      </c>
      <c r="E249" s="1800" t="s">
        <v>2501</v>
      </c>
      <c r="F249" s="1807">
        <v>2.6800000000000001E-2</v>
      </c>
      <c r="G249" s="1801">
        <v>25.28</v>
      </c>
      <c r="H249" s="1802">
        <f t="shared" si="25"/>
        <v>25.15</v>
      </c>
      <c r="I249" s="1803">
        <f t="shared" si="27"/>
        <v>0.67</v>
      </c>
      <c r="J249" s="1795"/>
    </row>
    <row r="250" spans="1:10" ht="36">
      <c r="A250" s="1797" t="s">
        <v>2476</v>
      </c>
      <c r="B250" s="1798" t="s">
        <v>7</v>
      </c>
      <c r="C250" s="1798">
        <v>92008</v>
      </c>
      <c r="D250" s="1799" t="s">
        <v>2582</v>
      </c>
      <c r="E250" s="1800" t="s">
        <v>2501</v>
      </c>
      <c r="F250" s="1807">
        <v>0.13420000000000001</v>
      </c>
      <c r="G250" s="1801">
        <v>40.520000000000003</v>
      </c>
      <c r="H250" s="1802">
        <f t="shared" si="25"/>
        <v>40.31</v>
      </c>
      <c r="I250" s="1803">
        <f t="shared" si="27"/>
        <v>5.4</v>
      </c>
      <c r="J250" s="1795"/>
    </row>
    <row r="251" spans="1:10" ht="36">
      <c r="A251" s="1797" t="s">
        <v>2476</v>
      </c>
      <c r="B251" s="1798" t="s">
        <v>7</v>
      </c>
      <c r="C251" s="1798">
        <v>92023</v>
      </c>
      <c r="D251" s="1799" t="s">
        <v>2583</v>
      </c>
      <c r="E251" s="1800" t="s">
        <v>2501</v>
      </c>
      <c r="F251" s="1807">
        <v>2.6800000000000001E-2</v>
      </c>
      <c r="G251" s="1801">
        <v>42.59</v>
      </c>
      <c r="H251" s="1802">
        <f t="shared" si="25"/>
        <v>42.37</v>
      </c>
      <c r="I251" s="1803">
        <f t="shared" si="27"/>
        <v>1.1299999999999999</v>
      </c>
      <c r="J251" s="1795"/>
    </row>
    <row r="252" spans="1:10" ht="60">
      <c r="A252" s="1797" t="s">
        <v>2476</v>
      </c>
      <c r="B252" s="1798" t="s">
        <v>7</v>
      </c>
      <c r="C252" s="1798">
        <v>92543</v>
      </c>
      <c r="D252" s="1799" t="s">
        <v>2545</v>
      </c>
      <c r="E252" s="1800" t="s">
        <v>1176</v>
      </c>
      <c r="F252" s="1807">
        <v>1.4510000000000001</v>
      </c>
      <c r="G252" s="1801">
        <v>22.25</v>
      </c>
      <c r="H252" s="1802">
        <f t="shared" si="25"/>
        <v>22.13</v>
      </c>
      <c r="I252" s="1803">
        <f t="shared" si="27"/>
        <v>32.11</v>
      </c>
      <c r="J252" s="1795"/>
    </row>
    <row r="253" spans="1:10" ht="24">
      <c r="A253" s="1797" t="s">
        <v>2476</v>
      </c>
      <c r="B253" s="1798" t="s">
        <v>7</v>
      </c>
      <c r="C253" s="1798">
        <v>93358</v>
      </c>
      <c r="D253" s="1799" t="s">
        <v>2547</v>
      </c>
      <c r="E253" s="1800" t="s">
        <v>1171</v>
      </c>
      <c r="F253" s="1807">
        <v>3.9E-2</v>
      </c>
      <c r="G253" s="1801">
        <v>76.94</v>
      </c>
      <c r="H253" s="1802">
        <f t="shared" si="25"/>
        <v>76.540000000000006</v>
      </c>
      <c r="I253" s="1803">
        <f t="shared" si="27"/>
        <v>2.98</v>
      </c>
      <c r="J253" s="1795"/>
    </row>
    <row r="254" spans="1:10" ht="60">
      <c r="A254" s="1797" t="s">
        <v>2476</v>
      </c>
      <c r="B254" s="1798" t="s">
        <v>7</v>
      </c>
      <c r="C254" s="1798">
        <v>94210</v>
      </c>
      <c r="D254" s="1799" t="s">
        <v>2548</v>
      </c>
      <c r="E254" s="1800" t="s">
        <v>1176</v>
      </c>
      <c r="F254" s="1807">
        <v>1.4510000000000001</v>
      </c>
      <c r="G254" s="1801">
        <v>55.58</v>
      </c>
      <c r="H254" s="1802">
        <f t="shared" si="25"/>
        <v>55.29</v>
      </c>
      <c r="I254" s="1803">
        <f t="shared" si="27"/>
        <v>80.22</v>
      </c>
      <c r="J254" s="1795"/>
    </row>
    <row r="255" spans="1:10" ht="36">
      <c r="A255" s="1797" t="s">
        <v>2476</v>
      </c>
      <c r="B255" s="1798" t="s">
        <v>7</v>
      </c>
      <c r="C255" s="1798">
        <v>95240</v>
      </c>
      <c r="D255" s="1799" t="s">
        <v>2550</v>
      </c>
      <c r="E255" s="1800" t="s">
        <v>1176</v>
      </c>
      <c r="F255" s="1807">
        <v>8.9999999999999993E-3</v>
      </c>
      <c r="G255" s="1801">
        <v>19.690000000000001</v>
      </c>
      <c r="H255" s="1802">
        <f t="shared" si="25"/>
        <v>19.579999999999998</v>
      </c>
      <c r="I255" s="1803">
        <f t="shared" si="27"/>
        <v>0.17</v>
      </c>
      <c r="J255" s="1795"/>
    </row>
    <row r="256" spans="1:10" ht="36">
      <c r="A256" s="1797" t="s">
        <v>2476</v>
      </c>
      <c r="B256" s="1798" t="s">
        <v>7</v>
      </c>
      <c r="C256" s="1798">
        <v>95241</v>
      </c>
      <c r="D256" s="1799" t="s">
        <v>2551</v>
      </c>
      <c r="E256" s="1800" t="s">
        <v>1176</v>
      </c>
      <c r="F256" s="1807">
        <v>1.4510000000000001</v>
      </c>
      <c r="G256" s="1801">
        <v>32.82</v>
      </c>
      <c r="H256" s="1802">
        <f t="shared" si="25"/>
        <v>32.65</v>
      </c>
      <c r="I256" s="1803">
        <f t="shared" si="27"/>
        <v>47.37</v>
      </c>
      <c r="J256" s="1795"/>
    </row>
    <row r="257" spans="1:10" ht="36">
      <c r="A257" s="1797" t="s">
        <v>2476</v>
      </c>
      <c r="B257" s="1798" t="s">
        <v>7</v>
      </c>
      <c r="C257" s="1798">
        <v>95805</v>
      </c>
      <c r="D257" s="1799" t="s">
        <v>2552</v>
      </c>
      <c r="E257" s="1800" t="s">
        <v>2501</v>
      </c>
      <c r="F257" s="1807">
        <v>0.18790000000000001</v>
      </c>
      <c r="G257" s="1801">
        <v>21.95</v>
      </c>
      <c r="H257" s="1802">
        <f t="shared" si="25"/>
        <v>21.83</v>
      </c>
      <c r="I257" s="1803">
        <f t="shared" si="27"/>
        <v>4.0999999999999996</v>
      </c>
      <c r="J257" s="1795"/>
    </row>
    <row r="258" spans="1:10" ht="36">
      <c r="A258" s="1797" t="s">
        <v>2476</v>
      </c>
      <c r="B258" s="1798" t="s">
        <v>7</v>
      </c>
      <c r="C258" s="1798">
        <v>95811</v>
      </c>
      <c r="D258" s="1799" t="s">
        <v>2553</v>
      </c>
      <c r="E258" s="1800" t="s">
        <v>2501</v>
      </c>
      <c r="F258" s="1807">
        <v>2.6800000000000001E-2</v>
      </c>
      <c r="G258" s="1801">
        <v>18.739999999999998</v>
      </c>
      <c r="H258" s="1802">
        <f t="shared" si="25"/>
        <v>18.64</v>
      </c>
      <c r="I258" s="1803">
        <f t="shared" si="27"/>
        <v>0.49</v>
      </c>
      <c r="J258" s="1795"/>
    </row>
    <row r="259" spans="1:10" ht="24">
      <c r="A259" s="1797" t="s">
        <v>2476</v>
      </c>
      <c r="B259" s="1798" t="s">
        <v>7</v>
      </c>
      <c r="C259" s="1798">
        <v>96995</v>
      </c>
      <c r="D259" s="1799" t="s">
        <v>414</v>
      </c>
      <c r="E259" s="1800" t="s">
        <v>1171</v>
      </c>
      <c r="F259" s="1807">
        <v>0.01</v>
      </c>
      <c r="G259" s="1801">
        <v>46.65</v>
      </c>
      <c r="H259" s="1802">
        <f t="shared" si="25"/>
        <v>46.41</v>
      </c>
      <c r="I259" s="1803">
        <f t="shared" si="27"/>
        <v>0.46</v>
      </c>
      <c r="J259" s="1795"/>
    </row>
    <row r="260" spans="1:10" ht="48">
      <c r="A260" s="1797" t="s">
        <v>2476</v>
      </c>
      <c r="B260" s="1798" t="s">
        <v>7</v>
      </c>
      <c r="C260" s="1798">
        <v>97586</v>
      </c>
      <c r="D260" s="1799" t="s">
        <v>2555</v>
      </c>
      <c r="E260" s="1800" t="s">
        <v>2501</v>
      </c>
      <c r="F260" s="1807">
        <v>0.16109999999999999</v>
      </c>
      <c r="G260" s="1801">
        <v>153.35</v>
      </c>
      <c r="H260" s="1802">
        <f t="shared" si="25"/>
        <v>152.56</v>
      </c>
      <c r="I260" s="1803">
        <f t="shared" si="27"/>
        <v>24.57</v>
      </c>
      <c r="J260" s="1795"/>
    </row>
    <row r="261" spans="1:10" ht="48">
      <c r="A261" s="1797" t="s">
        <v>2476</v>
      </c>
      <c r="B261" s="1798" t="s">
        <v>7</v>
      </c>
      <c r="C261" s="1798">
        <v>97906</v>
      </c>
      <c r="D261" s="1799" t="s">
        <v>2557</v>
      </c>
      <c r="E261" s="1800" t="s">
        <v>2501</v>
      </c>
      <c r="F261" s="1807">
        <v>2.6800000000000001E-2</v>
      </c>
      <c r="G261" s="1801">
        <v>441.77</v>
      </c>
      <c r="H261" s="1802">
        <f t="shared" si="25"/>
        <v>439.51</v>
      </c>
      <c r="I261" s="1803">
        <f t="shared" si="27"/>
        <v>11.77</v>
      </c>
      <c r="J261" s="1795"/>
    </row>
    <row r="262" spans="1:10" ht="36">
      <c r="A262" s="1797" t="s">
        <v>2476</v>
      </c>
      <c r="B262" s="1798" t="s">
        <v>7</v>
      </c>
      <c r="C262" s="1798">
        <v>98102</v>
      </c>
      <c r="D262" s="1799" t="s">
        <v>2584</v>
      </c>
      <c r="E262" s="1800" t="s">
        <v>2501</v>
      </c>
      <c r="F262" s="1807">
        <v>2.6800000000000001E-2</v>
      </c>
      <c r="G262" s="1801">
        <v>171.08</v>
      </c>
      <c r="H262" s="1802">
        <f t="shared" si="25"/>
        <v>170.2</v>
      </c>
      <c r="I262" s="1803">
        <f t="shared" si="27"/>
        <v>4.5599999999999996</v>
      </c>
      <c r="J262" s="1795"/>
    </row>
    <row r="263" spans="1:10" ht="48">
      <c r="A263" s="1797" t="s">
        <v>2476</v>
      </c>
      <c r="B263" s="1798" t="s">
        <v>7</v>
      </c>
      <c r="C263" s="1798">
        <v>98441</v>
      </c>
      <c r="D263" s="1799" t="s">
        <v>2558</v>
      </c>
      <c r="E263" s="1800" t="s">
        <v>1176</v>
      </c>
      <c r="F263" s="1807">
        <v>0.1449</v>
      </c>
      <c r="G263" s="1801">
        <v>159.15</v>
      </c>
      <c r="H263" s="1802">
        <f t="shared" si="25"/>
        <v>158.33000000000001</v>
      </c>
      <c r="I263" s="1803">
        <f t="shared" si="27"/>
        <v>22.94</v>
      </c>
      <c r="J263" s="1795"/>
    </row>
    <row r="264" spans="1:10" ht="36">
      <c r="A264" s="1797" t="s">
        <v>2476</v>
      </c>
      <c r="B264" s="1798" t="s">
        <v>7</v>
      </c>
      <c r="C264" s="1798">
        <v>98442</v>
      </c>
      <c r="D264" s="1799" t="s">
        <v>2559</v>
      </c>
      <c r="E264" s="1800" t="s">
        <v>1176</v>
      </c>
      <c r="F264" s="1807">
        <v>0.1668</v>
      </c>
      <c r="G264" s="1801">
        <v>162.19</v>
      </c>
      <c r="H264" s="1802">
        <f t="shared" si="25"/>
        <v>161.36000000000001</v>
      </c>
      <c r="I264" s="1803">
        <f t="shared" si="26"/>
        <v>26.91</v>
      </c>
      <c r="J264" s="1795"/>
    </row>
    <row r="265" spans="1:10" ht="48">
      <c r="A265" s="1797" t="s">
        <v>2476</v>
      </c>
      <c r="B265" s="1798" t="s">
        <v>7</v>
      </c>
      <c r="C265" s="1798">
        <v>98445</v>
      </c>
      <c r="D265" s="1799" t="s">
        <v>2562</v>
      </c>
      <c r="E265" s="1800" t="s">
        <v>1176</v>
      </c>
      <c r="F265" s="1807">
        <v>0.22639999999999999</v>
      </c>
      <c r="G265" s="1801">
        <v>188.28</v>
      </c>
      <c r="H265" s="1802">
        <f t="shared" si="25"/>
        <v>187.31</v>
      </c>
      <c r="I265" s="1803">
        <f t="shared" si="26"/>
        <v>42.4</v>
      </c>
      <c r="J265" s="1795"/>
    </row>
    <row r="266" spans="1:10" ht="36">
      <c r="A266" s="1797" t="s">
        <v>2476</v>
      </c>
      <c r="B266" s="1798" t="s">
        <v>7</v>
      </c>
      <c r="C266" s="1798">
        <v>98446</v>
      </c>
      <c r="D266" s="1799" t="s">
        <v>2563</v>
      </c>
      <c r="E266" s="1800" t="s">
        <v>1176</v>
      </c>
      <c r="F266" s="1807">
        <v>0.17649999999999999</v>
      </c>
      <c r="G266" s="1801">
        <v>236.73</v>
      </c>
      <c r="H266" s="1802">
        <f t="shared" si="25"/>
        <v>235.52</v>
      </c>
      <c r="I266" s="1803">
        <f t="shared" si="26"/>
        <v>41.56</v>
      </c>
      <c r="J266" s="1795"/>
    </row>
    <row r="267" spans="1:10" ht="48">
      <c r="A267" s="1797" t="s">
        <v>2476</v>
      </c>
      <c r="B267" s="1798" t="s">
        <v>7</v>
      </c>
      <c r="C267" s="1798">
        <v>101165</v>
      </c>
      <c r="D267" s="1799" t="s">
        <v>2568</v>
      </c>
      <c r="E267" s="1800" t="s">
        <v>1171</v>
      </c>
      <c r="F267" s="1807">
        <v>0.04</v>
      </c>
      <c r="G267" s="1801">
        <v>929.85</v>
      </c>
      <c r="H267" s="1802">
        <f t="shared" si="25"/>
        <v>925.1</v>
      </c>
      <c r="I267" s="1803">
        <f t="shared" si="26"/>
        <v>37</v>
      </c>
      <c r="J267" s="1795"/>
    </row>
    <row r="268" spans="1:10" ht="36">
      <c r="A268" s="1797" t="s">
        <v>2476</v>
      </c>
      <c r="B268" s="1798" t="s">
        <v>7</v>
      </c>
      <c r="C268" s="1798">
        <v>101876</v>
      </c>
      <c r="D268" s="1799" t="s">
        <v>2569</v>
      </c>
      <c r="E268" s="1800" t="s">
        <v>2501</v>
      </c>
      <c r="F268" s="1807">
        <v>2.6800000000000001E-2</v>
      </c>
      <c r="G268" s="1801">
        <v>79.739999999999995</v>
      </c>
      <c r="H268" s="1802">
        <f t="shared" si="25"/>
        <v>79.33</v>
      </c>
      <c r="I268" s="1803">
        <f t="shared" si="26"/>
        <v>2.12</v>
      </c>
      <c r="J268" s="1795"/>
    </row>
    <row r="269" spans="1:10" ht="36">
      <c r="A269" s="1797" t="s">
        <v>2476</v>
      </c>
      <c r="B269" s="1798" t="s">
        <v>7</v>
      </c>
      <c r="C269" s="1798">
        <v>101891</v>
      </c>
      <c r="D269" s="1799" t="s">
        <v>2570</v>
      </c>
      <c r="E269" s="1800" t="s">
        <v>2501</v>
      </c>
      <c r="F269" s="1807">
        <v>0.1074</v>
      </c>
      <c r="G269" s="1801">
        <v>29.68</v>
      </c>
      <c r="H269" s="1802">
        <f t="shared" si="25"/>
        <v>29.52</v>
      </c>
      <c r="I269" s="1803">
        <f t="shared" si="26"/>
        <v>3.17</v>
      </c>
      <c r="J269" s="1795"/>
    </row>
    <row r="270" spans="1:10">
      <c r="A270" s="1943" t="s">
        <v>2477</v>
      </c>
      <c r="B270" s="1944"/>
      <c r="C270" s="1944"/>
      <c r="D270" s="1944"/>
      <c r="E270" s="1944"/>
      <c r="F270" s="1944"/>
      <c r="G270" s="1944"/>
      <c r="H270" s="1945"/>
      <c r="I270" s="1805">
        <f>SUM(I227:I269)</f>
        <v>625.69000000000005</v>
      </c>
      <c r="J270" s="1795"/>
    </row>
    <row r="271" spans="1:10">
      <c r="A271" s="1929"/>
      <c r="B271" s="1930"/>
      <c r="C271" s="1930"/>
      <c r="D271" s="1930"/>
      <c r="E271" s="1930"/>
      <c r="F271" s="1930"/>
      <c r="G271" s="1930"/>
      <c r="H271" s="1930"/>
      <c r="I271" s="1931"/>
      <c r="J271" s="1795"/>
    </row>
    <row r="272" spans="1:10" ht="25.5" customHeight="1">
      <c r="A272" s="1784">
        <f>'PLANILHA SEM DESON'!B30</f>
        <v>93207</v>
      </c>
      <c r="B272" s="1940" t="str">
        <f>VLOOKUP(A272,'PLANILHA SEM DESON'!$B$17:$D$1700,2,FALSE)</f>
        <v>EXECUÇÃO DE ESCRITÓRIO EM CANTEIRO DE OBRA EM CHAPA DE MADEIRA COMPENSADA, NÃO INCLUSO MOBILIÁRIO E EQUIPAMENTOS. AF_02/2016</v>
      </c>
      <c r="C272" s="1941"/>
      <c r="D272" s="1941"/>
      <c r="E272" s="1941"/>
      <c r="F272" s="1941"/>
      <c r="G272" s="1941"/>
      <c r="H272" s="1942"/>
      <c r="I272" s="1785" t="str">
        <f>VLOOKUP(A272,'PLANILHA SEM DESON'!$B$17:$D$1700,3,FALSE)</f>
        <v>m²</v>
      </c>
      <c r="J272" s="1786">
        <f>I348</f>
        <v>1187.7199999999996</v>
      </c>
    </row>
    <row r="273" spans="1:10" ht="24">
      <c r="A273" s="1788" t="s">
        <v>2470</v>
      </c>
      <c r="B273" s="1789" t="s">
        <v>2471</v>
      </c>
      <c r="C273" s="1790" t="s">
        <v>2468</v>
      </c>
      <c r="D273" s="1791" t="s">
        <v>308</v>
      </c>
      <c r="E273" s="1790" t="s">
        <v>202</v>
      </c>
      <c r="F273" s="1792" t="s">
        <v>2472</v>
      </c>
      <c r="G273" s="1790" t="s">
        <v>2473</v>
      </c>
      <c r="H273" s="1793" t="s">
        <v>2474</v>
      </c>
      <c r="I273" s="1794" t="s">
        <v>2475</v>
      </c>
      <c r="J273" s="1795"/>
    </row>
    <row r="274" spans="1:10" ht="60">
      <c r="A274" s="1797" t="s">
        <v>2476</v>
      </c>
      <c r="B274" s="1798" t="s">
        <v>2479</v>
      </c>
      <c r="C274" s="1798">
        <v>3080</v>
      </c>
      <c r="D274" s="1799" t="s">
        <v>2502</v>
      </c>
      <c r="E274" s="1800" t="s">
        <v>2503</v>
      </c>
      <c r="F274" s="1807">
        <v>5.7799999999999997E-2</v>
      </c>
      <c r="G274" s="1801">
        <v>79.900000000000006</v>
      </c>
      <c r="H274" s="1802">
        <f t="shared" ref="H274:H305" si="28">IF(E274="H",G274,TRUNC(G274*(1-$K$7),2))</f>
        <v>79.489999999999995</v>
      </c>
      <c r="I274" s="1803">
        <f t="shared" ref="I274:I347" si="29">TRUNC(H274*F274,2)</f>
        <v>4.59</v>
      </c>
      <c r="J274" s="1795"/>
    </row>
    <row r="275" spans="1:10" ht="60">
      <c r="A275" s="1797" t="s">
        <v>2476</v>
      </c>
      <c r="B275" s="1798" t="s">
        <v>2479</v>
      </c>
      <c r="C275" s="1798">
        <v>3097</v>
      </c>
      <c r="D275" s="1799" t="s">
        <v>2585</v>
      </c>
      <c r="E275" s="1800" t="s">
        <v>2503</v>
      </c>
      <c r="F275" s="1807">
        <v>3.85E-2</v>
      </c>
      <c r="G275" s="1801">
        <v>89.46</v>
      </c>
      <c r="H275" s="1802">
        <f t="shared" si="28"/>
        <v>89</v>
      </c>
      <c r="I275" s="1803">
        <f t="shared" ref="I275:I338" si="30">TRUNC(H275*F275,2)</f>
        <v>3.42</v>
      </c>
      <c r="J275" s="1795"/>
    </row>
    <row r="276" spans="1:10" ht="24">
      <c r="A276" s="1797" t="s">
        <v>2476</v>
      </c>
      <c r="B276" s="1798" t="s">
        <v>2479</v>
      </c>
      <c r="C276" s="1798">
        <v>10886</v>
      </c>
      <c r="D276" s="1799" t="s">
        <v>2574</v>
      </c>
      <c r="E276" s="1800" t="s">
        <v>2501</v>
      </c>
      <c r="F276" s="1807">
        <v>1.9300000000000001E-2</v>
      </c>
      <c r="G276" s="1801">
        <v>181.12</v>
      </c>
      <c r="H276" s="1802">
        <f t="shared" si="28"/>
        <v>180.19</v>
      </c>
      <c r="I276" s="1803">
        <f t="shared" si="30"/>
        <v>3.47</v>
      </c>
      <c r="J276" s="1795"/>
    </row>
    <row r="277" spans="1:10" ht="24">
      <c r="A277" s="1797" t="s">
        <v>2476</v>
      </c>
      <c r="B277" s="1798" t="s">
        <v>2479</v>
      </c>
      <c r="C277" s="1798">
        <v>10891</v>
      </c>
      <c r="D277" s="1799" t="s">
        <v>2575</v>
      </c>
      <c r="E277" s="1800" t="s">
        <v>2501</v>
      </c>
      <c r="F277" s="1807">
        <v>1.9300000000000001E-2</v>
      </c>
      <c r="G277" s="1801">
        <v>175.15</v>
      </c>
      <c r="H277" s="1802">
        <f t="shared" si="28"/>
        <v>174.25</v>
      </c>
      <c r="I277" s="1803">
        <f t="shared" si="30"/>
        <v>3.36</v>
      </c>
      <c r="J277" s="1795"/>
    </row>
    <row r="278" spans="1:10" ht="36">
      <c r="A278" s="1797" t="s">
        <v>2476</v>
      </c>
      <c r="B278" s="1798" t="s">
        <v>2479</v>
      </c>
      <c r="C278" s="1798">
        <v>11587</v>
      </c>
      <c r="D278" s="1799" t="s">
        <v>2506</v>
      </c>
      <c r="E278" s="1800" t="s">
        <v>1176</v>
      </c>
      <c r="F278" s="1807">
        <v>0.99380000000000002</v>
      </c>
      <c r="G278" s="1801">
        <v>96.6</v>
      </c>
      <c r="H278" s="1802">
        <f t="shared" si="28"/>
        <v>96.1</v>
      </c>
      <c r="I278" s="1803">
        <f t="shared" si="30"/>
        <v>95.5</v>
      </c>
      <c r="J278" s="1795"/>
    </row>
    <row r="279" spans="1:10" ht="36">
      <c r="A279" s="1797" t="s">
        <v>2476</v>
      </c>
      <c r="B279" s="1798" t="s">
        <v>7</v>
      </c>
      <c r="C279" s="1798">
        <v>86888</v>
      </c>
      <c r="D279" s="1799" t="s">
        <v>2512</v>
      </c>
      <c r="E279" s="1800" t="s">
        <v>2501</v>
      </c>
      <c r="F279" s="1807">
        <v>3.85E-2</v>
      </c>
      <c r="G279" s="1801">
        <v>484.71</v>
      </c>
      <c r="H279" s="1802">
        <f t="shared" si="28"/>
        <v>482.23</v>
      </c>
      <c r="I279" s="1803">
        <f t="shared" si="30"/>
        <v>18.559999999999999</v>
      </c>
      <c r="J279" s="1795"/>
    </row>
    <row r="280" spans="1:10" ht="72">
      <c r="A280" s="1797" t="s">
        <v>2476</v>
      </c>
      <c r="B280" s="1798" t="s">
        <v>7</v>
      </c>
      <c r="C280" s="1798">
        <v>86934</v>
      </c>
      <c r="D280" s="1799" t="s">
        <v>2581</v>
      </c>
      <c r="E280" s="1800" t="s">
        <v>2501</v>
      </c>
      <c r="F280" s="1807">
        <v>1.9300000000000001E-2</v>
      </c>
      <c r="G280" s="1801">
        <v>450.05</v>
      </c>
      <c r="H280" s="1802">
        <f t="shared" si="28"/>
        <v>447.75</v>
      </c>
      <c r="I280" s="1803">
        <f t="shared" si="30"/>
        <v>8.64</v>
      </c>
      <c r="J280" s="1795"/>
    </row>
    <row r="281" spans="1:10" ht="60">
      <c r="A281" s="1797" t="s">
        <v>2476</v>
      </c>
      <c r="B281" s="1798" t="s">
        <v>7</v>
      </c>
      <c r="C281" s="1798">
        <v>86943</v>
      </c>
      <c r="D281" s="1799" t="s">
        <v>1828</v>
      </c>
      <c r="E281" s="1800" t="s">
        <v>2501</v>
      </c>
      <c r="F281" s="1807">
        <v>3.85E-2</v>
      </c>
      <c r="G281" s="1801">
        <v>262.18</v>
      </c>
      <c r="H281" s="1802">
        <f t="shared" si="28"/>
        <v>260.83999999999997</v>
      </c>
      <c r="I281" s="1803">
        <f t="shared" si="30"/>
        <v>10.039999999999999</v>
      </c>
      <c r="J281" s="1795"/>
    </row>
    <row r="282" spans="1:10" ht="60">
      <c r="A282" s="1797" t="s">
        <v>2476</v>
      </c>
      <c r="B282" s="1798" t="s">
        <v>7</v>
      </c>
      <c r="C282" s="1798">
        <v>87548</v>
      </c>
      <c r="D282" s="1799" t="s">
        <v>2513</v>
      </c>
      <c r="E282" s="1800" t="s">
        <v>1176</v>
      </c>
      <c r="F282" s="1807">
        <v>3.85E-2</v>
      </c>
      <c r="G282" s="1801">
        <v>26.03</v>
      </c>
      <c r="H282" s="1802">
        <f t="shared" si="28"/>
        <v>25.89</v>
      </c>
      <c r="I282" s="1803">
        <f t="shared" si="30"/>
        <v>0.99</v>
      </c>
      <c r="J282" s="1795"/>
    </row>
    <row r="283" spans="1:10" ht="36">
      <c r="A283" s="1797" t="s">
        <v>2476</v>
      </c>
      <c r="B283" s="1798" t="s">
        <v>7</v>
      </c>
      <c r="C283" s="1798">
        <v>87885</v>
      </c>
      <c r="D283" s="1799" t="s">
        <v>2515</v>
      </c>
      <c r="E283" s="1800" t="s">
        <v>1176</v>
      </c>
      <c r="F283" s="1807">
        <v>0.20469999999999999</v>
      </c>
      <c r="G283" s="1801">
        <v>11.11</v>
      </c>
      <c r="H283" s="1802">
        <f t="shared" si="28"/>
        <v>11.05</v>
      </c>
      <c r="I283" s="1803">
        <f t="shared" si="30"/>
        <v>2.2599999999999998</v>
      </c>
      <c r="J283" s="1795"/>
    </row>
    <row r="284" spans="1:10" ht="24">
      <c r="A284" s="1797" t="s">
        <v>2476</v>
      </c>
      <c r="B284" s="1798" t="s">
        <v>7</v>
      </c>
      <c r="C284" s="1798">
        <v>88489</v>
      </c>
      <c r="D284" s="1799" t="s">
        <v>117</v>
      </c>
      <c r="E284" s="1800" t="s">
        <v>1176</v>
      </c>
      <c r="F284" s="1807">
        <v>4.4976000000000003</v>
      </c>
      <c r="G284" s="1801">
        <v>14.99</v>
      </c>
      <c r="H284" s="1802">
        <f t="shared" si="28"/>
        <v>14.91</v>
      </c>
      <c r="I284" s="1803">
        <f t="shared" si="30"/>
        <v>67.05</v>
      </c>
      <c r="J284" s="1795"/>
    </row>
    <row r="285" spans="1:10" ht="60">
      <c r="A285" s="1797" t="s">
        <v>2476</v>
      </c>
      <c r="B285" s="1798" t="s">
        <v>7</v>
      </c>
      <c r="C285" s="1798">
        <v>89171</v>
      </c>
      <c r="D285" s="1799" t="s">
        <v>2517</v>
      </c>
      <c r="E285" s="1800" t="s">
        <v>1176</v>
      </c>
      <c r="F285" s="1807">
        <v>8.0600000000000005E-2</v>
      </c>
      <c r="G285" s="1801">
        <v>54.07</v>
      </c>
      <c r="H285" s="1802">
        <f t="shared" si="28"/>
        <v>53.79</v>
      </c>
      <c r="I285" s="1803">
        <f t="shared" si="30"/>
        <v>4.33</v>
      </c>
      <c r="J285" s="1795"/>
    </row>
    <row r="286" spans="1:10" ht="72">
      <c r="A286" s="1797" t="s">
        <v>2476</v>
      </c>
      <c r="B286" s="1798" t="s">
        <v>7</v>
      </c>
      <c r="C286" s="1798">
        <v>89173</v>
      </c>
      <c r="D286" s="1799" t="s">
        <v>118</v>
      </c>
      <c r="E286" s="1800" t="s">
        <v>1176</v>
      </c>
      <c r="F286" s="1807">
        <v>0.20469999999999999</v>
      </c>
      <c r="G286" s="1801">
        <v>36.79</v>
      </c>
      <c r="H286" s="1802">
        <f t="shared" si="28"/>
        <v>36.6</v>
      </c>
      <c r="I286" s="1803">
        <f t="shared" si="30"/>
        <v>7.49</v>
      </c>
      <c r="J286" s="1795"/>
    </row>
    <row r="287" spans="1:10" ht="36">
      <c r="A287" s="1797" t="s">
        <v>2476</v>
      </c>
      <c r="B287" s="1798" t="s">
        <v>7</v>
      </c>
      <c r="C287" s="1798">
        <v>89482</v>
      </c>
      <c r="D287" s="1799" t="s">
        <v>2586</v>
      </c>
      <c r="E287" s="1800" t="s">
        <v>2501</v>
      </c>
      <c r="F287" s="1807">
        <v>3.85E-2</v>
      </c>
      <c r="G287" s="1801">
        <v>45.72</v>
      </c>
      <c r="H287" s="1802">
        <f t="shared" si="28"/>
        <v>45.48</v>
      </c>
      <c r="I287" s="1803">
        <f t="shared" si="30"/>
        <v>1.75</v>
      </c>
      <c r="J287" s="1795"/>
    </row>
    <row r="288" spans="1:10" ht="36">
      <c r="A288" s="1797" t="s">
        <v>2476</v>
      </c>
      <c r="B288" s="1798" t="s">
        <v>7</v>
      </c>
      <c r="C288" s="1798">
        <v>89711</v>
      </c>
      <c r="D288" s="1799" t="s">
        <v>2519</v>
      </c>
      <c r="E288" s="1800" t="s">
        <v>160</v>
      </c>
      <c r="F288" s="1807">
        <v>0.13880000000000001</v>
      </c>
      <c r="G288" s="1801">
        <v>21.07</v>
      </c>
      <c r="H288" s="1802">
        <f t="shared" si="28"/>
        <v>20.96</v>
      </c>
      <c r="I288" s="1803">
        <f t="shared" si="30"/>
        <v>2.9</v>
      </c>
      <c r="J288" s="1795"/>
    </row>
    <row r="289" spans="1:10" ht="36">
      <c r="A289" s="1797" t="s">
        <v>2476</v>
      </c>
      <c r="B289" s="1798" t="s">
        <v>7</v>
      </c>
      <c r="C289" s="1798">
        <v>89712</v>
      </c>
      <c r="D289" s="1799" t="s">
        <v>2520</v>
      </c>
      <c r="E289" s="1800" t="s">
        <v>160</v>
      </c>
      <c r="F289" s="1807">
        <v>0.12529999999999999</v>
      </c>
      <c r="G289" s="1801">
        <v>27.77</v>
      </c>
      <c r="H289" s="1802">
        <f t="shared" si="28"/>
        <v>27.62</v>
      </c>
      <c r="I289" s="1803">
        <f t="shared" si="30"/>
        <v>3.46</v>
      </c>
      <c r="J289" s="1795"/>
    </row>
    <row r="290" spans="1:10" ht="36">
      <c r="A290" s="1797" t="s">
        <v>2476</v>
      </c>
      <c r="B290" s="1798" t="s">
        <v>7</v>
      </c>
      <c r="C290" s="1798">
        <v>89714</v>
      </c>
      <c r="D290" s="1799" t="s">
        <v>2521</v>
      </c>
      <c r="E290" s="1800" t="s">
        <v>160</v>
      </c>
      <c r="F290" s="1807">
        <v>0.1472</v>
      </c>
      <c r="G290" s="1801">
        <v>41.92</v>
      </c>
      <c r="H290" s="1802">
        <f t="shared" si="28"/>
        <v>41.7</v>
      </c>
      <c r="I290" s="1803">
        <f t="shared" si="30"/>
        <v>6.13</v>
      </c>
      <c r="J290" s="1795"/>
    </row>
    <row r="291" spans="1:10" ht="48">
      <c r="A291" s="1797" t="s">
        <v>2476</v>
      </c>
      <c r="B291" s="1798" t="s">
        <v>7</v>
      </c>
      <c r="C291" s="1798">
        <v>89724</v>
      </c>
      <c r="D291" s="1799" t="s">
        <v>2522</v>
      </c>
      <c r="E291" s="1800" t="s">
        <v>2501</v>
      </c>
      <c r="F291" s="1807">
        <v>7.7100000000000002E-2</v>
      </c>
      <c r="G291" s="1801">
        <v>12.96</v>
      </c>
      <c r="H291" s="1802">
        <f t="shared" si="28"/>
        <v>12.89</v>
      </c>
      <c r="I291" s="1803">
        <f t="shared" si="30"/>
        <v>0.99</v>
      </c>
      <c r="J291" s="1795"/>
    </row>
    <row r="292" spans="1:10" ht="48">
      <c r="A292" s="1797" t="s">
        <v>2476</v>
      </c>
      <c r="B292" s="1798" t="s">
        <v>7</v>
      </c>
      <c r="C292" s="1798">
        <v>89726</v>
      </c>
      <c r="D292" s="1799" t="s">
        <v>2587</v>
      </c>
      <c r="E292" s="1800" t="s">
        <v>2501</v>
      </c>
      <c r="F292" s="1807">
        <v>5.7799999999999997E-2</v>
      </c>
      <c r="G292" s="1801">
        <v>9.24</v>
      </c>
      <c r="H292" s="1802">
        <f t="shared" si="28"/>
        <v>9.19</v>
      </c>
      <c r="I292" s="1803">
        <f t="shared" si="30"/>
        <v>0.53</v>
      </c>
      <c r="J292" s="1795"/>
    </row>
    <row r="293" spans="1:10" ht="48">
      <c r="A293" s="1797" t="s">
        <v>2476</v>
      </c>
      <c r="B293" s="1798" t="s">
        <v>7</v>
      </c>
      <c r="C293" s="1798">
        <v>89731</v>
      </c>
      <c r="D293" s="1799" t="s">
        <v>2523</v>
      </c>
      <c r="E293" s="1800" t="s">
        <v>2501</v>
      </c>
      <c r="F293" s="1807">
        <v>1.9300000000000001E-2</v>
      </c>
      <c r="G293" s="1801">
        <v>15.29</v>
      </c>
      <c r="H293" s="1802">
        <f t="shared" si="28"/>
        <v>15.21</v>
      </c>
      <c r="I293" s="1803">
        <f t="shared" si="30"/>
        <v>0.28999999999999998</v>
      </c>
      <c r="J293" s="1795"/>
    </row>
    <row r="294" spans="1:10" ht="48">
      <c r="A294" s="1797" t="s">
        <v>2476</v>
      </c>
      <c r="B294" s="1798" t="s">
        <v>7</v>
      </c>
      <c r="C294" s="1798">
        <v>89748</v>
      </c>
      <c r="D294" s="1799" t="s">
        <v>2524</v>
      </c>
      <c r="E294" s="1800" t="s">
        <v>2501</v>
      </c>
      <c r="F294" s="1807">
        <v>5.7799999999999997E-2</v>
      </c>
      <c r="G294" s="1801">
        <v>50.6</v>
      </c>
      <c r="H294" s="1802">
        <f t="shared" si="28"/>
        <v>50.34</v>
      </c>
      <c r="I294" s="1803">
        <f t="shared" si="30"/>
        <v>2.9</v>
      </c>
      <c r="J294" s="1795"/>
    </row>
    <row r="295" spans="1:10" ht="48">
      <c r="A295" s="1797" t="s">
        <v>2476</v>
      </c>
      <c r="B295" s="1798" t="s">
        <v>7</v>
      </c>
      <c r="C295" s="1798">
        <v>89784</v>
      </c>
      <c r="D295" s="1799" t="s">
        <v>2525</v>
      </c>
      <c r="E295" s="1800" t="s">
        <v>2501</v>
      </c>
      <c r="F295" s="1807">
        <v>5.7799999999999997E-2</v>
      </c>
      <c r="G295" s="1801">
        <v>26.64</v>
      </c>
      <c r="H295" s="1802">
        <f t="shared" si="28"/>
        <v>26.5</v>
      </c>
      <c r="I295" s="1803">
        <f t="shared" si="30"/>
        <v>1.53</v>
      </c>
      <c r="J295" s="1795"/>
    </row>
    <row r="296" spans="1:10" ht="48">
      <c r="A296" s="1797" t="s">
        <v>2476</v>
      </c>
      <c r="B296" s="1798" t="s">
        <v>7</v>
      </c>
      <c r="C296" s="1798">
        <v>89796</v>
      </c>
      <c r="D296" s="1799" t="s">
        <v>2588</v>
      </c>
      <c r="E296" s="1800" t="s">
        <v>2501</v>
      </c>
      <c r="F296" s="1807">
        <v>3.85E-2</v>
      </c>
      <c r="G296" s="1801">
        <v>50.19</v>
      </c>
      <c r="H296" s="1802">
        <f t="shared" si="28"/>
        <v>49.93</v>
      </c>
      <c r="I296" s="1803">
        <f t="shared" si="30"/>
        <v>1.92</v>
      </c>
      <c r="J296" s="1795"/>
    </row>
    <row r="297" spans="1:10" ht="48">
      <c r="A297" s="1797" t="s">
        <v>2476</v>
      </c>
      <c r="B297" s="1798" t="s">
        <v>7</v>
      </c>
      <c r="C297" s="1798">
        <v>89957</v>
      </c>
      <c r="D297" s="1799" t="s">
        <v>2526</v>
      </c>
      <c r="E297" s="1800" t="s">
        <v>2501</v>
      </c>
      <c r="F297" s="1807">
        <v>9.64E-2</v>
      </c>
      <c r="G297" s="1801">
        <v>145.26</v>
      </c>
      <c r="H297" s="1802">
        <f t="shared" si="28"/>
        <v>144.51</v>
      </c>
      <c r="I297" s="1803">
        <f t="shared" si="30"/>
        <v>13.93</v>
      </c>
      <c r="J297" s="1795"/>
    </row>
    <row r="298" spans="1:10" ht="36">
      <c r="A298" s="1797" t="s">
        <v>2476</v>
      </c>
      <c r="B298" s="1798" t="s">
        <v>7</v>
      </c>
      <c r="C298" s="1798">
        <v>90443</v>
      </c>
      <c r="D298" s="1799" t="s">
        <v>2528</v>
      </c>
      <c r="E298" s="1800" t="s">
        <v>160</v>
      </c>
      <c r="F298" s="1807">
        <v>0.1002</v>
      </c>
      <c r="G298" s="1801">
        <v>12.47</v>
      </c>
      <c r="H298" s="1802">
        <f t="shared" si="28"/>
        <v>12.4</v>
      </c>
      <c r="I298" s="1803">
        <f t="shared" si="30"/>
        <v>1.24</v>
      </c>
      <c r="J298" s="1795"/>
    </row>
    <row r="299" spans="1:10" ht="36">
      <c r="A299" s="1797" t="s">
        <v>2476</v>
      </c>
      <c r="B299" s="1798" t="s">
        <v>7</v>
      </c>
      <c r="C299" s="1798">
        <v>90466</v>
      </c>
      <c r="D299" s="1799" t="s">
        <v>2529</v>
      </c>
      <c r="E299" s="1800" t="s">
        <v>160</v>
      </c>
      <c r="F299" s="1807">
        <v>0.1002</v>
      </c>
      <c r="G299" s="1801">
        <v>12.99</v>
      </c>
      <c r="H299" s="1802">
        <f t="shared" si="28"/>
        <v>12.92</v>
      </c>
      <c r="I299" s="1803">
        <f t="shared" si="30"/>
        <v>1.29</v>
      </c>
      <c r="J299" s="1795"/>
    </row>
    <row r="300" spans="1:10" ht="48">
      <c r="A300" s="1797" t="s">
        <v>2476</v>
      </c>
      <c r="B300" s="1798" t="s">
        <v>7</v>
      </c>
      <c r="C300" s="1798">
        <v>90820</v>
      </c>
      <c r="D300" s="1799" t="s">
        <v>2589</v>
      </c>
      <c r="E300" s="1800" t="s">
        <v>2501</v>
      </c>
      <c r="F300" s="1807">
        <v>3.85E-2</v>
      </c>
      <c r="G300" s="1801">
        <v>363.13</v>
      </c>
      <c r="H300" s="1802">
        <f t="shared" si="28"/>
        <v>361.27</v>
      </c>
      <c r="I300" s="1803">
        <f t="shared" si="30"/>
        <v>13.9</v>
      </c>
      <c r="J300" s="1795"/>
    </row>
    <row r="301" spans="1:10" ht="48">
      <c r="A301" s="1797" t="s">
        <v>2476</v>
      </c>
      <c r="B301" s="1798" t="s">
        <v>7</v>
      </c>
      <c r="C301" s="1798">
        <v>90822</v>
      </c>
      <c r="D301" s="1799" t="s">
        <v>2530</v>
      </c>
      <c r="E301" s="1800" t="s">
        <v>2501</v>
      </c>
      <c r="F301" s="1807">
        <v>5.7799999999999997E-2</v>
      </c>
      <c r="G301" s="1801">
        <v>396.29</v>
      </c>
      <c r="H301" s="1802">
        <f t="shared" si="28"/>
        <v>394.26</v>
      </c>
      <c r="I301" s="1803">
        <f t="shared" si="30"/>
        <v>22.78</v>
      </c>
      <c r="J301" s="1795"/>
    </row>
    <row r="302" spans="1:10" ht="60">
      <c r="A302" s="1797" t="s">
        <v>2476</v>
      </c>
      <c r="B302" s="1798" t="s">
        <v>7</v>
      </c>
      <c r="C302" s="1798">
        <v>91170</v>
      </c>
      <c r="D302" s="1799" t="s">
        <v>2531</v>
      </c>
      <c r="E302" s="1800" t="s">
        <v>160</v>
      </c>
      <c r="F302" s="1807">
        <v>0.53</v>
      </c>
      <c r="G302" s="1801">
        <v>3.36</v>
      </c>
      <c r="H302" s="1802">
        <f t="shared" si="28"/>
        <v>3.34</v>
      </c>
      <c r="I302" s="1803">
        <f t="shared" si="30"/>
        <v>1.77</v>
      </c>
      <c r="J302" s="1795"/>
    </row>
    <row r="303" spans="1:10" ht="48">
      <c r="A303" s="1797" t="s">
        <v>2476</v>
      </c>
      <c r="B303" s="1798" t="s">
        <v>7</v>
      </c>
      <c r="C303" s="1798">
        <v>91173</v>
      </c>
      <c r="D303" s="1799" t="s">
        <v>2532</v>
      </c>
      <c r="E303" s="1800" t="s">
        <v>160</v>
      </c>
      <c r="F303" s="1807">
        <v>1.7343999999999999</v>
      </c>
      <c r="G303" s="1801">
        <v>1.71</v>
      </c>
      <c r="H303" s="1802">
        <f t="shared" si="28"/>
        <v>1.7</v>
      </c>
      <c r="I303" s="1803">
        <f t="shared" si="30"/>
        <v>2.94</v>
      </c>
      <c r="J303" s="1795"/>
    </row>
    <row r="304" spans="1:10" ht="36">
      <c r="A304" s="1797" t="s">
        <v>2476</v>
      </c>
      <c r="B304" s="1798" t="s">
        <v>7</v>
      </c>
      <c r="C304" s="1798">
        <v>91341</v>
      </c>
      <c r="D304" s="1799" t="s">
        <v>1438</v>
      </c>
      <c r="E304" s="1800" t="s">
        <v>1176</v>
      </c>
      <c r="F304" s="1807">
        <v>3.2399999999999998E-2</v>
      </c>
      <c r="G304" s="1801">
        <v>636.34</v>
      </c>
      <c r="H304" s="1802">
        <f t="shared" si="28"/>
        <v>633.09</v>
      </c>
      <c r="I304" s="1803">
        <f t="shared" si="30"/>
        <v>20.51</v>
      </c>
      <c r="J304" s="1795"/>
    </row>
    <row r="305" spans="1:10" ht="36">
      <c r="A305" s="1797" t="s">
        <v>2476</v>
      </c>
      <c r="B305" s="1798" t="s">
        <v>7</v>
      </c>
      <c r="C305" s="1798">
        <v>91862</v>
      </c>
      <c r="D305" s="1799" t="s">
        <v>2534</v>
      </c>
      <c r="E305" s="1800" t="s">
        <v>160</v>
      </c>
      <c r="F305" s="1807">
        <v>0.53</v>
      </c>
      <c r="G305" s="1801">
        <v>10.33</v>
      </c>
      <c r="H305" s="1802">
        <f t="shared" si="28"/>
        <v>10.27</v>
      </c>
      <c r="I305" s="1803">
        <f t="shared" si="30"/>
        <v>5.44</v>
      </c>
      <c r="J305" s="1795"/>
    </row>
    <row r="306" spans="1:10" ht="36">
      <c r="A306" s="1797" t="s">
        <v>2476</v>
      </c>
      <c r="B306" s="1798" t="s">
        <v>7</v>
      </c>
      <c r="C306" s="1798">
        <v>91870</v>
      </c>
      <c r="D306" s="1799" t="s">
        <v>2535</v>
      </c>
      <c r="E306" s="1800" t="s">
        <v>160</v>
      </c>
      <c r="F306" s="1807">
        <v>1.7343999999999999</v>
      </c>
      <c r="G306" s="1801">
        <v>11.02</v>
      </c>
      <c r="H306" s="1802">
        <f t="shared" ref="H306:H337" si="31">IF(E306="H",G306,TRUNC(G306*(1-$K$7),2))</f>
        <v>10.96</v>
      </c>
      <c r="I306" s="1803">
        <f t="shared" si="30"/>
        <v>19</v>
      </c>
      <c r="J306" s="1795"/>
    </row>
    <row r="307" spans="1:10" ht="48">
      <c r="A307" s="1797" t="s">
        <v>2476</v>
      </c>
      <c r="B307" s="1798" t="s">
        <v>7</v>
      </c>
      <c r="C307" s="1798">
        <v>91911</v>
      </c>
      <c r="D307" s="1799" t="s">
        <v>2540</v>
      </c>
      <c r="E307" s="1800" t="s">
        <v>2501</v>
      </c>
      <c r="F307" s="1807">
        <v>0.19270000000000001</v>
      </c>
      <c r="G307" s="1801">
        <v>12.83</v>
      </c>
      <c r="H307" s="1802">
        <f t="shared" si="31"/>
        <v>12.76</v>
      </c>
      <c r="I307" s="1803">
        <f t="shared" si="30"/>
        <v>2.4500000000000002</v>
      </c>
      <c r="J307" s="1795"/>
    </row>
    <row r="308" spans="1:10" ht="36">
      <c r="A308" s="1797" t="s">
        <v>2476</v>
      </c>
      <c r="B308" s="1798" t="s">
        <v>7</v>
      </c>
      <c r="C308" s="1798">
        <v>91924</v>
      </c>
      <c r="D308" s="1799" t="s">
        <v>2541</v>
      </c>
      <c r="E308" s="1800" t="s">
        <v>160</v>
      </c>
      <c r="F308" s="1807">
        <v>1.4165000000000001</v>
      </c>
      <c r="G308" s="1801">
        <v>2.74</v>
      </c>
      <c r="H308" s="1802">
        <f t="shared" si="31"/>
        <v>2.72</v>
      </c>
      <c r="I308" s="1803">
        <f t="shared" si="30"/>
        <v>3.85</v>
      </c>
      <c r="J308" s="1795"/>
    </row>
    <row r="309" spans="1:10" ht="36">
      <c r="A309" s="1797" t="s">
        <v>2476</v>
      </c>
      <c r="B309" s="1798" t="s">
        <v>7</v>
      </c>
      <c r="C309" s="1798">
        <v>91926</v>
      </c>
      <c r="D309" s="1799" t="s">
        <v>2211</v>
      </c>
      <c r="E309" s="1800" t="s">
        <v>160</v>
      </c>
      <c r="F309" s="1807">
        <v>3.4689000000000001</v>
      </c>
      <c r="G309" s="1801">
        <v>3.97</v>
      </c>
      <c r="H309" s="1802">
        <f t="shared" si="31"/>
        <v>3.94</v>
      </c>
      <c r="I309" s="1803">
        <f t="shared" si="30"/>
        <v>13.66</v>
      </c>
      <c r="J309" s="1795"/>
    </row>
    <row r="310" spans="1:10" ht="36">
      <c r="A310" s="1797" t="s">
        <v>2476</v>
      </c>
      <c r="B310" s="1798" t="s">
        <v>7</v>
      </c>
      <c r="C310" s="1798">
        <v>91928</v>
      </c>
      <c r="D310" s="1799" t="s">
        <v>2542</v>
      </c>
      <c r="E310" s="1800" t="s">
        <v>160</v>
      </c>
      <c r="F310" s="1807">
        <v>2.0234999999999999</v>
      </c>
      <c r="G310" s="1801">
        <v>6.12</v>
      </c>
      <c r="H310" s="1802">
        <f t="shared" si="31"/>
        <v>6.08</v>
      </c>
      <c r="I310" s="1803">
        <f t="shared" si="30"/>
        <v>12.3</v>
      </c>
      <c r="J310" s="1795"/>
    </row>
    <row r="311" spans="1:10" ht="24">
      <c r="A311" s="1797" t="s">
        <v>2476</v>
      </c>
      <c r="B311" s="1798" t="s">
        <v>7</v>
      </c>
      <c r="C311" s="1798">
        <v>91937</v>
      </c>
      <c r="D311" s="1799" t="s">
        <v>2543</v>
      </c>
      <c r="E311" s="1800" t="s">
        <v>2501</v>
      </c>
      <c r="F311" s="1807">
        <v>0.1734</v>
      </c>
      <c r="G311" s="1801">
        <v>11.07</v>
      </c>
      <c r="H311" s="1802">
        <f t="shared" si="31"/>
        <v>11.01</v>
      </c>
      <c r="I311" s="1803">
        <f t="shared" si="30"/>
        <v>1.9</v>
      </c>
      <c r="J311" s="1795"/>
    </row>
    <row r="312" spans="1:10" ht="36">
      <c r="A312" s="1797" t="s">
        <v>2476</v>
      </c>
      <c r="B312" s="1798" t="s">
        <v>7</v>
      </c>
      <c r="C312" s="1798">
        <v>91945</v>
      </c>
      <c r="D312" s="1799" t="s">
        <v>2590</v>
      </c>
      <c r="E312" s="1800" t="s">
        <v>2501</v>
      </c>
      <c r="F312" s="1807">
        <v>5.7799999999999997E-2</v>
      </c>
      <c r="G312" s="1801">
        <v>8.68</v>
      </c>
      <c r="H312" s="1802">
        <f t="shared" si="31"/>
        <v>8.6300000000000008</v>
      </c>
      <c r="I312" s="1803">
        <f t="shared" si="30"/>
        <v>0.49</v>
      </c>
      <c r="J312" s="1795"/>
    </row>
    <row r="313" spans="1:10" ht="36">
      <c r="A313" s="1797" t="s">
        <v>2476</v>
      </c>
      <c r="B313" s="1798" t="s">
        <v>7</v>
      </c>
      <c r="C313" s="1798">
        <v>92000</v>
      </c>
      <c r="D313" s="1799" t="s">
        <v>2544</v>
      </c>
      <c r="E313" s="1800" t="s">
        <v>2501</v>
      </c>
      <c r="F313" s="1807">
        <v>7.7100000000000002E-2</v>
      </c>
      <c r="G313" s="1801">
        <v>25.28</v>
      </c>
      <c r="H313" s="1802">
        <f t="shared" si="31"/>
        <v>25.15</v>
      </c>
      <c r="I313" s="1803">
        <f t="shared" si="30"/>
        <v>1.93</v>
      </c>
      <c r="J313" s="1795"/>
    </row>
    <row r="314" spans="1:10" ht="36">
      <c r="A314" s="1797" t="s">
        <v>2476</v>
      </c>
      <c r="B314" s="1798" t="s">
        <v>7</v>
      </c>
      <c r="C314" s="1798">
        <v>92008</v>
      </c>
      <c r="D314" s="1799" t="s">
        <v>2582</v>
      </c>
      <c r="E314" s="1800" t="s">
        <v>2501</v>
      </c>
      <c r="F314" s="1807">
        <v>0.1542</v>
      </c>
      <c r="G314" s="1801">
        <v>40.520000000000003</v>
      </c>
      <c r="H314" s="1802">
        <f t="shared" si="31"/>
        <v>40.31</v>
      </c>
      <c r="I314" s="1803">
        <f t="shared" si="30"/>
        <v>6.21</v>
      </c>
      <c r="J314" s="1795"/>
    </row>
    <row r="315" spans="1:10" ht="36">
      <c r="A315" s="1797" t="s">
        <v>2476</v>
      </c>
      <c r="B315" s="1798" t="s">
        <v>7</v>
      </c>
      <c r="C315" s="1798">
        <v>92023</v>
      </c>
      <c r="D315" s="1799" t="s">
        <v>2583</v>
      </c>
      <c r="E315" s="1800" t="s">
        <v>2501</v>
      </c>
      <c r="F315" s="1807">
        <v>0.13489999999999999</v>
      </c>
      <c r="G315" s="1801">
        <v>42.59</v>
      </c>
      <c r="H315" s="1802">
        <f t="shared" si="31"/>
        <v>42.37</v>
      </c>
      <c r="I315" s="1803">
        <f t="shared" si="30"/>
        <v>5.71</v>
      </c>
      <c r="J315" s="1795"/>
    </row>
    <row r="316" spans="1:10" ht="60">
      <c r="A316" s="1797" t="s">
        <v>2476</v>
      </c>
      <c r="B316" s="1798" t="s">
        <v>7</v>
      </c>
      <c r="C316" s="1798">
        <v>92543</v>
      </c>
      <c r="D316" s="1799" t="s">
        <v>2545</v>
      </c>
      <c r="E316" s="1800" t="s">
        <v>1176</v>
      </c>
      <c r="F316" s="1807">
        <v>1.3621000000000001</v>
      </c>
      <c r="G316" s="1801">
        <v>22.25</v>
      </c>
      <c r="H316" s="1802">
        <f t="shared" si="31"/>
        <v>22.13</v>
      </c>
      <c r="I316" s="1803">
        <f t="shared" si="30"/>
        <v>30.14</v>
      </c>
      <c r="J316" s="1795"/>
    </row>
    <row r="317" spans="1:10" ht="36">
      <c r="A317" s="1797" t="s">
        <v>2476</v>
      </c>
      <c r="B317" s="1798" t="s">
        <v>7</v>
      </c>
      <c r="C317" s="1798">
        <v>92981</v>
      </c>
      <c r="D317" s="1799" t="s">
        <v>2546</v>
      </c>
      <c r="E317" s="1800" t="s">
        <v>160</v>
      </c>
      <c r="F317" s="1807">
        <v>0.19270000000000001</v>
      </c>
      <c r="G317" s="1801">
        <v>14.98</v>
      </c>
      <c r="H317" s="1802">
        <f t="shared" si="31"/>
        <v>14.9</v>
      </c>
      <c r="I317" s="1803">
        <f t="shared" si="30"/>
        <v>2.87</v>
      </c>
      <c r="J317" s="1795"/>
    </row>
    <row r="318" spans="1:10" ht="24">
      <c r="A318" s="1797" t="s">
        <v>2476</v>
      </c>
      <c r="B318" s="1798" t="s">
        <v>7</v>
      </c>
      <c r="C318" s="1798">
        <v>93358</v>
      </c>
      <c r="D318" s="1799" t="s">
        <v>2547</v>
      </c>
      <c r="E318" s="1800" t="s">
        <v>1171</v>
      </c>
      <c r="F318" s="1807">
        <v>2.3300000000000001E-2</v>
      </c>
      <c r="G318" s="1801">
        <v>76.94</v>
      </c>
      <c r="H318" s="1802">
        <f t="shared" si="31"/>
        <v>76.540000000000006</v>
      </c>
      <c r="I318" s="1803">
        <f t="shared" si="30"/>
        <v>1.78</v>
      </c>
      <c r="J318" s="1795"/>
    </row>
    <row r="319" spans="1:10" ht="60">
      <c r="A319" s="1797" t="s">
        <v>2476</v>
      </c>
      <c r="B319" s="1798" t="s">
        <v>7</v>
      </c>
      <c r="C319" s="1798">
        <v>94210</v>
      </c>
      <c r="D319" s="1799" t="s">
        <v>2548</v>
      </c>
      <c r="E319" s="1800" t="s">
        <v>1176</v>
      </c>
      <c r="F319" s="1807">
        <v>1.3621000000000001</v>
      </c>
      <c r="G319" s="1801">
        <v>55.58</v>
      </c>
      <c r="H319" s="1802">
        <f t="shared" si="31"/>
        <v>55.29</v>
      </c>
      <c r="I319" s="1803">
        <f t="shared" si="30"/>
        <v>75.31</v>
      </c>
      <c r="J319" s="1795"/>
    </row>
    <row r="320" spans="1:10" ht="60">
      <c r="A320" s="1797" t="s">
        <v>2476</v>
      </c>
      <c r="B320" s="1798" t="s">
        <v>7</v>
      </c>
      <c r="C320" s="1798">
        <v>94559</v>
      </c>
      <c r="D320" s="1799" t="s">
        <v>2549</v>
      </c>
      <c r="E320" s="1800" t="s">
        <v>1176</v>
      </c>
      <c r="F320" s="1807">
        <v>2.8899999999999999E-2</v>
      </c>
      <c r="G320" s="1801">
        <v>809.19</v>
      </c>
      <c r="H320" s="1802">
        <f t="shared" si="31"/>
        <v>805.06</v>
      </c>
      <c r="I320" s="1803">
        <f t="shared" si="30"/>
        <v>23.26</v>
      </c>
      <c r="J320" s="1795"/>
    </row>
    <row r="321" spans="1:10" ht="36">
      <c r="A321" s="1797" t="s">
        <v>2476</v>
      </c>
      <c r="B321" s="1798" t="s">
        <v>7</v>
      </c>
      <c r="C321" s="1798">
        <v>95240</v>
      </c>
      <c r="D321" s="1799" t="s">
        <v>2550</v>
      </c>
      <c r="E321" s="1800" t="s">
        <v>1176</v>
      </c>
      <c r="F321" s="1807">
        <v>5.4000000000000003E-3</v>
      </c>
      <c r="G321" s="1801">
        <v>19.690000000000001</v>
      </c>
      <c r="H321" s="1802">
        <f t="shared" si="31"/>
        <v>19.579999999999998</v>
      </c>
      <c r="I321" s="1803">
        <f t="shared" si="30"/>
        <v>0.1</v>
      </c>
      <c r="J321" s="1795"/>
    </row>
    <row r="322" spans="1:10" ht="36">
      <c r="A322" s="1797" t="s">
        <v>2476</v>
      </c>
      <c r="B322" s="1798" t="s">
        <v>7</v>
      </c>
      <c r="C322" s="1798">
        <v>95241</v>
      </c>
      <c r="D322" s="1799" t="s">
        <v>2551</v>
      </c>
      <c r="E322" s="1800" t="s">
        <v>1176</v>
      </c>
      <c r="F322" s="1807">
        <v>1.3559000000000001</v>
      </c>
      <c r="G322" s="1801">
        <v>32.82</v>
      </c>
      <c r="H322" s="1802">
        <f t="shared" si="31"/>
        <v>32.65</v>
      </c>
      <c r="I322" s="1803">
        <f t="shared" si="30"/>
        <v>44.27</v>
      </c>
      <c r="J322" s="1795"/>
    </row>
    <row r="323" spans="1:10" ht="36">
      <c r="A323" s="1797" t="s">
        <v>2476</v>
      </c>
      <c r="B323" s="1798" t="s">
        <v>7</v>
      </c>
      <c r="C323" s="1798">
        <v>95805</v>
      </c>
      <c r="D323" s="1799" t="s">
        <v>2552</v>
      </c>
      <c r="E323" s="1800" t="s">
        <v>2501</v>
      </c>
      <c r="F323" s="1807">
        <v>0.28910000000000002</v>
      </c>
      <c r="G323" s="1801">
        <v>21.95</v>
      </c>
      <c r="H323" s="1802">
        <f t="shared" si="31"/>
        <v>21.83</v>
      </c>
      <c r="I323" s="1803">
        <f t="shared" si="30"/>
        <v>6.31</v>
      </c>
      <c r="J323" s="1795"/>
    </row>
    <row r="324" spans="1:10" ht="36">
      <c r="A324" s="1797" t="s">
        <v>2476</v>
      </c>
      <c r="B324" s="1798" t="s">
        <v>7</v>
      </c>
      <c r="C324" s="1798">
        <v>95811</v>
      </c>
      <c r="D324" s="1799" t="s">
        <v>2553</v>
      </c>
      <c r="E324" s="1800" t="s">
        <v>2501</v>
      </c>
      <c r="F324" s="1807">
        <v>0.13489999999999999</v>
      </c>
      <c r="G324" s="1801">
        <v>18.739999999999998</v>
      </c>
      <c r="H324" s="1802">
        <f t="shared" si="31"/>
        <v>18.64</v>
      </c>
      <c r="I324" s="1803">
        <f t="shared" si="30"/>
        <v>2.5099999999999998</v>
      </c>
      <c r="J324" s="1795"/>
    </row>
    <row r="325" spans="1:10" ht="24">
      <c r="A325" s="1797" t="s">
        <v>2476</v>
      </c>
      <c r="B325" s="1798" t="s">
        <v>7</v>
      </c>
      <c r="C325" s="1798">
        <v>96985</v>
      </c>
      <c r="D325" s="1799" t="s">
        <v>2554</v>
      </c>
      <c r="E325" s="1800" t="s">
        <v>2501</v>
      </c>
      <c r="F325" s="1807">
        <v>3.85E-2</v>
      </c>
      <c r="G325" s="1801">
        <v>76.36</v>
      </c>
      <c r="H325" s="1802">
        <f t="shared" si="31"/>
        <v>75.97</v>
      </c>
      <c r="I325" s="1803">
        <f t="shared" si="30"/>
        <v>2.92</v>
      </c>
      <c r="J325" s="1795"/>
    </row>
    <row r="326" spans="1:10" ht="24">
      <c r="A326" s="1797" t="s">
        <v>2476</v>
      </c>
      <c r="B326" s="1798" t="s">
        <v>7</v>
      </c>
      <c r="C326" s="1798">
        <v>96995</v>
      </c>
      <c r="D326" s="1799" t="s">
        <v>414</v>
      </c>
      <c r="E326" s="1800" t="s">
        <v>1171</v>
      </c>
      <c r="F326" s="1807">
        <v>6.0000000000000001E-3</v>
      </c>
      <c r="G326" s="1801">
        <v>46.65</v>
      </c>
      <c r="H326" s="1802">
        <f t="shared" si="31"/>
        <v>46.41</v>
      </c>
      <c r="I326" s="1803">
        <f t="shared" si="30"/>
        <v>0.27</v>
      </c>
      <c r="J326" s="1795"/>
    </row>
    <row r="327" spans="1:10" ht="48">
      <c r="A327" s="1797" t="s">
        <v>2476</v>
      </c>
      <c r="B327" s="1798" t="s">
        <v>7</v>
      </c>
      <c r="C327" s="1798">
        <v>97586</v>
      </c>
      <c r="D327" s="1799" t="s">
        <v>2555</v>
      </c>
      <c r="E327" s="1800" t="s">
        <v>2501</v>
      </c>
      <c r="F327" s="1807">
        <v>0.11559999999999999</v>
      </c>
      <c r="G327" s="1801">
        <v>153.35</v>
      </c>
      <c r="H327" s="1802">
        <f t="shared" si="31"/>
        <v>152.56</v>
      </c>
      <c r="I327" s="1803">
        <f t="shared" si="30"/>
        <v>17.63</v>
      </c>
      <c r="J327" s="1795"/>
    </row>
    <row r="328" spans="1:10" ht="36">
      <c r="A328" s="1797" t="s">
        <v>2476</v>
      </c>
      <c r="B328" s="1798" t="s">
        <v>7</v>
      </c>
      <c r="C328" s="1798">
        <v>97593</v>
      </c>
      <c r="D328" s="1799" t="s">
        <v>2578</v>
      </c>
      <c r="E328" s="1800" t="s">
        <v>2501</v>
      </c>
      <c r="F328" s="1807">
        <v>7.7100000000000002E-2</v>
      </c>
      <c r="G328" s="1801">
        <v>134.5</v>
      </c>
      <c r="H328" s="1802">
        <f t="shared" si="31"/>
        <v>133.81</v>
      </c>
      <c r="I328" s="1803">
        <f t="shared" si="30"/>
        <v>10.31</v>
      </c>
      <c r="J328" s="1795"/>
    </row>
    <row r="329" spans="1:10" ht="24">
      <c r="A329" s="1797" t="s">
        <v>2476</v>
      </c>
      <c r="B329" s="1798" t="s">
        <v>7</v>
      </c>
      <c r="C329" s="1798">
        <v>97611</v>
      </c>
      <c r="D329" s="1799" t="s">
        <v>2579</v>
      </c>
      <c r="E329" s="1800" t="s">
        <v>2501</v>
      </c>
      <c r="F329" s="1807">
        <v>3.85E-2</v>
      </c>
      <c r="G329" s="1801">
        <v>18.77</v>
      </c>
      <c r="H329" s="1802">
        <f t="shared" si="31"/>
        <v>18.670000000000002</v>
      </c>
      <c r="I329" s="1803">
        <f t="shared" si="30"/>
        <v>0.71</v>
      </c>
      <c r="J329" s="1795"/>
    </row>
    <row r="330" spans="1:10" ht="24">
      <c r="A330" s="1797" t="s">
        <v>2476</v>
      </c>
      <c r="B330" s="1798" t="s">
        <v>7</v>
      </c>
      <c r="C330" s="1798">
        <v>97612</v>
      </c>
      <c r="D330" s="1799" t="s">
        <v>2591</v>
      </c>
      <c r="E330" s="1800" t="s">
        <v>2501</v>
      </c>
      <c r="F330" s="1807">
        <v>3.85E-2</v>
      </c>
      <c r="G330" s="1801">
        <v>20.149999999999999</v>
      </c>
      <c r="H330" s="1802">
        <f t="shared" si="31"/>
        <v>20.04</v>
      </c>
      <c r="I330" s="1803">
        <f t="shared" si="30"/>
        <v>0.77</v>
      </c>
      <c r="J330" s="1795"/>
    </row>
    <row r="331" spans="1:10" ht="48">
      <c r="A331" s="1797" t="s">
        <v>2476</v>
      </c>
      <c r="B331" s="1798" t="s">
        <v>7</v>
      </c>
      <c r="C331" s="1798">
        <v>97886</v>
      </c>
      <c r="D331" s="1799" t="s">
        <v>2556</v>
      </c>
      <c r="E331" s="1800" t="s">
        <v>2501</v>
      </c>
      <c r="F331" s="1807">
        <v>3.85E-2</v>
      </c>
      <c r="G331" s="1801">
        <v>173.06</v>
      </c>
      <c r="H331" s="1802">
        <f t="shared" si="31"/>
        <v>172.17</v>
      </c>
      <c r="I331" s="1803">
        <f t="shared" si="30"/>
        <v>6.62</v>
      </c>
      <c r="J331" s="1795"/>
    </row>
    <row r="332" spans="1:10" ht="48">
      <c r="A332" s="1797" t="s">
        <v>2476</v>
      </c>
      <c r="B332" s="1798" t="s">
        <v>7</v>
      </c>
      <c r="C332" s="1798">
        <v>97906</v>
      </c>
      <c r="D332" s="1799" t="s">
        <v>2557</v>
      </c>
      <c r="E332" s="1800" t="s">
        <v>2501</v>
      </c>
      <c r="F332" s="1807">
        <v>1.9300000000000001E-2</v>
      </c>
      <c r="G332" s="1801">
        <v>441.77</v>
      </c>
      <c r="H332" s="1802">
        <f t="shared" si="31"/>
        <v>439.51</v>
      </c>
      <c r="I332" s="1803">
        <f t="shared" si="30"/>
        <v>8.48</v>
      </c>
      <c r="J332" s="1795"/>
    </row>
    <row r="333" spans="1:10" ht="48">
      <c r="A333" s="1797" t="s">
        <v>2476</v>
      </c>
      <c r="B333" s="1798" t="s">
        <v>7</v>
      </c>
      <c r="C333" s="1798">
        <v>98283</v>
      </c>
      <c r="D333" s="1799" t="s">
        <v>2592</v>
      </c>
      <c r="E333" s="1800" t="s">
        <v>160</v>
      </c>
      <c r="F333" s="1807">
        <v>0.61670000000000003</v>
      </c>
      <c r="G333" s="1801">
        <v>8.75</v>
      </c>
      <c r="H333" s="1802">
        <f t="shared" si="31"/>
        <v>8.6999999999999993</v>
      </c>
      <c r="I333" s="1803">
        <f t="shared" si="30"/>
        <v>5.36</v>
      </c>
      <c r="J333" s="1795"/>
    </row>
    <row r="334" spans="1:10" ht="48">
      <c r="A334" s="1797" t="s">
        <v>2476</v>
      </c>
      <c r="B334" s="1798" t="s">
        <v>7</v>
      </c>
      <c r="C334" s="1798">
        <v>98441</v>
      </c>
      <c r="D334" s="1799" t="s">
        <v>2558</v>
      </c>
      <c r="E334" s="1800" t="s">
        <v>1176</v>
      </c>
      <c r="F334" s="1807">
        <v>0.2979</v>
      </c>
      <c r="G334" s="1801">
        <v>159.15</v>
      </c>
      <c r="H334" s="1802">
        <f t="shared" si="31"/>
        <v>158.33000000000001</v>
      </c>
      <c r="I334" s="1803">
        <f t="shared" si="30"/>
        <v>47.16</v>
      </c>
      <c r="J334" s="1795"/>
    </row>
    <row r="335" spans="1:10" ht="36">
      <c r="A335" s="1797" t="s">
        <v>2476</v>
      </c>
      <c r="B335" s="1798" t="s">
        <v>7</v>
      </c>
      <c r="C335" s="1798">
        <v>98442</v>
      </c>
      <c r="D335" s="1799" t="s">
        <v>2559</v>
      </c>
      <c r="E335" s="1800" t="s">
        <v>1176</v>
      </c>
      <c r="F335" s="1807">
        <v>0.34289999999999998</v>
      </c>
      <c r="G335" s="1801">
        <v>162.19</v>
      </c>
      <c r="H335" s="1802">
        <f t="shared" si="31"/>
        <v>161.36000000000001</v>
      </c>
      <c r="I335" s="1803">
        <f t="shared" si="30"/>
        <v>55.33</v>
      </c>
      <c r="J335" s="1795"/>
    </row>
    <row r="336" spans="1:10" ht="48">
      <c r="A336" s="1797" t="s">
        <v>2476</v>
      </c>
      <c r="B336" s="1798" t="s">
        <v>7</v>
      </c>
      <c r="C336" s="1798">
        <v>98443</v>
      </c>
      <c r="D336" s="1799" t="s">
        <v>2560</v>
      </c>
      <c r="E336" s="1800" t="s">
        <v>1176</v>
      </c>
      <c r="F336" s="1807">
        <v>0.15809999999999999</v>
      </c>
      <c r="G336" s="1801">
        <v>141.4</v>
      </c>
      <c r="H336" s="1802">
        <f t="shared" si="31"/>
        <v>140.66999999999999</v>
      </c>
      <c r="I336" s="1803">
        <f t="shared" si="30"/>
        <v>22.23</v>
      </c>
      <c r="J336" s="1795"/>
    </row>
    <row r="337" spans="1:10" ht="36">
      <c r="A337" s="1797" t="s">
        <v>2476</v>
      </c>
      <c r="B337" s="1798" t="s">
        <v>7</v>
      </c>
      <c r="C337" s="1798">
        <v>98444</v>
      </c>
      <c r="D337" s="1799" t="s">
        <v>2561</v>
      </c>
      <c r="E337" s="1800" t="s">
        <v>1176</v>
      </c>
      <c r="F337" s="1807">
        <v>0.182</v>
      </c>
      <c r="G337" s="1801">
        <v>143.59</v>
      </c>
      <c r="H337" s="1802">
        <f t="shared" si="31"/>
        <v>142.85</v>
      </c>
      <c r="I337" s="1803">
        <f t="shared" si="30"/>
        <v>25.99</v>
      </c>
      <c r="J337" s="1795"/>
    </row>
    <row r="338" spans="1:10" ht="48">
      <c r="A338" s="1797" t="s">
        <v>2476</v>
      </c>
      <c r="B338" s="1798" t="s">
        <v>7</v>
      </c>
      <c r="C338" s="1798">
        <v>98445</v>
      </c>
      <c r="D338" s="1799" t="s">
        <v>2562</v>
      </c>
      <c r="E338" s="1800" t="s">
        <v>1176</v>
      </c>
      <c r="F338" s="1807">
        <v>0.46539999999999998</v>
      </c>
      <c r="G338" s="1801">
        <v>188.28</v>
      </c>
      <c r="H338" s="1802">
        <f t="shared" ref="H338:H369" si="32">IF(E338="H",G338,TRUNC(G338*(1-$K$7),2))</f>
        <v>187.31</v>
      </c>
      <c r="I338" s="1803">
        <f t="shared" si="30"/>
        <v>87.17</v>
      </c>
      <c r="J338" s="1795"/>
    </row>
    <row r="339" spans="1:10" ht="36">
      <c r="A339" s="1797" t="s">
        <v>2476</v>
      </c>
      <c r="B339" s="1798" t="s">
        <v>7</v>
      </c>
      <c r="C339" s="1798">
        <v>98446</v>
      </c>
      <c r="D339" s="1799" t="s">
        <v>2563</v>
      </c>
      <c r="E339" s="1800" t="s">
        <v>1176</v>
      </c>
      <c r="F339" s="1807">
        <v>0.3629</v>
      </c>
      <c r="G339" s="1801">
        <v>236.73</v>
      </c>
      <c r="H339" s="1802">
        <f t="shared" si="32"/>
        <v>235.52</v>
      </c>
      <c r="I339" s="1803">
        <f t="shared" ref="I339:I341" si="33">TRUNC(H339*F339,2)</f>
        <v>85.47</v>
      </c>
      <c r="J339" s="1795"/>
    </row>
    <row r="340" spans="1:10" ht="48">
      <c r="A340" s="1797" t="s">
        <v>2476</v>
      </c>
      <c r="B340" s="1798" t="s">
        <v>7</v>
      </c>
      <c r="C340" s="1798">
        <v>98447</v>
      </c>
      <c r="D340" s="1799" t="s">
        <v>2564</v>
      </c>
      <c r="E340" s="1800" t="s">
        <v>1176</v>
      </c>
      <c r="F340" s="1807">
        <v>0.247</v>
      </c>
      <c r="G340" s="1801">
        <v>163.54</v>
      </c>
      <c r="H340" s="1802">
        <f t="shared" si="32"/>
        <v>162.69999999999999</v>
      </c>
      <c r="I340" s="1803">
        <f t="shared" si="33"/>
        <v>40.18</v>
      </c>
      <c r="J340" s="1795"/>
    </row>
    <row r="341" spans="1:10" ht="36">
      <c r="A341" s="1797" t="s">
        <v>2476</v>
      </c>
      <c r="B341" s="1798" t="s">
        <v>7</v>
      </c>
      <c r="C341" s="1798">
        <v>98448</v>
      </c>
      <c r="D341" s="1799" t="s">
        <v>2565</v>
      </c>
      <c r="E341" s="1800" t="s">
        <v>1176</v>
      </c>
      <c r="F341" s="1807">
        <v>0.19259999999999999</v>
      </c>
      <c r="G341" s="1801">
        <v>201.14</v>
      </c>
      <c r="H341" s="1802">
        <f t="shared" si="32"/>
        <v>200.11</v>
      </c>
      <c r="I341" s="1803">
        <f t="shared" si="33"/>
        <v>38.54</v>
      </c>
      <c r="J341" s="1795"/>
    </row>
    <row r="342" spans="1:10" ht="36">
      <c r="A342" s="1797" t="s">
        <v>2476</v>
      </c>
      <c r="B342" s="1798" t="s">
        <v>7</v>
      </c>
      <c r="C342" s="1798">
        <v>100556</v>
      </c>
      <c r="D342" s="1799" t="s">
        <v>2593</v>
      </c>
      <c r="E342" s="1800" t="s">
        <v>2501</v>
      </c>
      <c r="F342" s="1807">
        <v>1.9300000000000001E-2</v>
      </c>
      <c r="G342" s="1801">
        <v>45.58</v>
      </c>
      <c r="H342" s="1802">
        <f t="shared" si="32"/>
        <v>45.34</v>
      </c>
      <c r="I342" s="1803">
        <f t="shared" si="29"/>
        <v>0.87</v>
      </c>
      <c r="J342" s="1795"/>
    </row>
    <row r="343" spans="1:10" ht="72">
      <c r="A343" s="1797" t="s">
        <v>2476</v>
      </c>
      <c r="B343" s="1798" t="s">
        <v>7</v>
      </c>
      <c r="C343" s="1798">
        <v>100665</v>
      </c>
      <c r="D343" s="1799" t="s">
        <v>2594</v>
      </c>
      <c r="E343" s="1800" t="s">
        <v>1176</v>
      </c>
      <c r="F343" s="1807">
        <v>9.64E-2</v>
      </c>
      <c r="G343" s="1801">
        <v>996.05</v>
      </c>
      <c r="H343" s="1802">
        <f t="shared" si="32"/>
        <v>990.97</v>
      </c>
      <c r="I343" s="1803">
        <f t="shared" si="29"/>
        <v>95.52</v>
      </c>
      <c r="J343" s="1795"/>
    </row>
    <row r="344" spans="1:10" ht="48">
      <c r="A344" s="1797" t="s">
        <v>2476</v>
      </c>
      <c r="B344" s="1798" t="s">
        <v>7</v>
      </c>
      <c r="C344" s="1798">
        <v>101165</v>
      </c>
      <c r="D344" s="1799" t="s">
        <v>2568</v>
      </c>
      <c r="E344" s="1800" t="s">
        <v>1171</v>
      </c>
      <c r="F344" s="1807">
        <v>2.3900000000000001E-2</v>
      </c>
      <c r="G344" s="1801">
        <v>929.85</v>
      </c>
      <c r="H344" s="1802">
        <f t="shared" si="32"/>
        <v>925.1</v>
      </c>
      <c r="I344" s="1803">
        <f t="shared" si="29"/>
        <v>22.1</v>
      </c>
      <c r="J344" s="1795"/>
    </row>
    <row r="345" spans="1:10" ht="48">
      <c r="A345" s="1797" t="s">
        <v>2476</v>
      </c>
      <c r="B345" s="1798" t="s">
        <v>7</v>
      </c>
      <c r="C345" s="1798">
        <v>101875</v>
      </c>
      <c r="D345" s="1799" t="s">
        <v>2595</v>
      </c>
      <c r="E345" s="1800" t="s">
        <v>2501</v>
      </c>
      <c r="F345" s="1807">
        <v>1.9300000000000001E-2</v>
      </c>
      <c r="G345" s="1801">
        <v>499.71</v>
      </c>
      <c r="H345" s="1802">
        <f t="shared" si="32"/>
        <v>497.16</v>
      </c>
      <c r="I345" s="1803">
        <f t="shared" si="29"/>
        <v>9.59</v>
      </c>
      <c r="J345" s="1795"/>
    </row>
    <row r="346" spans="1:10" ht="36">
      <c r="A346" s="1797" t="s">
        <v>2476</v>
      </c>
      <c r="B346" s="1798" t="s">
        <v>7</v>
      </c>
      <c r="C346" s="1798">
        <v>101891</v>
      </c>
      <c r="D346" s="1799" t="s">
        <v>2570</v>
      </c>
      <c r="E346" s="1800" t="s">
        <v>2501</v>
      </c>
      <c r="F346" s="1807">
        <v>0.1734</v>
      </c>
      <c r="G346" s="1801">
        <v>29.68</v>
      </c>
      <c r="H346" s="1802">
        <f t="shared" si="32"/>
        <v>29.52</v>
      </c>
      <c r="I346" s="1803">
        <f t="shared" si="29"/>
        <v>5.1100000000000003</v>
      </c>
      <c r="J346" s="1795"/>
    </row>
    <row r="347" spans="1:10" ht="48">
      <c r="A347" s="1797" t="s">
        <v>2476</v>
      </c>
      <c r="B347" s="1798" t="s">
        <v>7</v>
      </c>
      <c r="C347" s="1798">
        <v>103328</v>
      </c>
      <c r="D347" s="1799" t="s">
        <v>2571</v>
      </c>
      <c r="E347" s="1800" t="s">
        <v>1176</v>
      </c>
      <c r="F347" s="1807">
        <v>0.1023</v>
      </c>
      <c r="G347" s="1801">
        <v>92.79</v>
      </c>
      <c r="H347" s="1802">
        <f t="shared" si="32"/>
        <v>92.31</v>
      </c>
      <c r="I347" s="1803">
        <f t="shared" si="29"/>
        <v>9.44</v>
      </c>
      <c r="J347" s="1795"/>
    </row>
    <row r="348" spans="1:10">
      <c r="A348" s="1943" t="s">
        <v>2477</v>
      </c>
      <c r="B348" s="1944"/>
      <c r="C348" s="1944"/>
      <c r="D348" s="1944"/>
      <c r="E348" s="1944"/>
      <c r="F348" s="1944"/>
      <c r="G348" s="1944"/>
      <c r="H348" s="1945"/>
      <c r="I348" s="1805">
        <f>SUM(I274:I347)</f>
        <v>1187.7199999999996</v>
      </c>
      <c r="J348" s="1795"/>
    </row>
    <row r="349" spans="1:10">
      <c r="A349" s="1929"/>
      <c r="B349" s="1930"/>
      <c r="C349" s="1930"/>
      <c r="D349" s="1930"/>
      <c r="E349" s="1930"/>
      <c r="F349" s="1930"/>
      <c r="G349" s="1930"/>
      <c r="H349" s="1930"/>
      <c r="I349" s="1931"/>
      <c r="J349" s="1795"/>
    </row>
    <row r="350" spans="1:10" ht="27" customHeight="1">
      <c r="A350" s="1784">
        <f>'PLANILHA SEM DESON'!B31</f>
        <v>93214</v>
      </c>
      <c r="B350" s="1940" t="str">
        <f>VLOOKUP(A350,'PLANILHA SEM DESON'!$B$17:$D$1700,2,FALSE)</f>
        <v>EXECUÇÃO DE RESERVATÓRIO ELEVADO DE ÁGUA (1000 LITROS) EM CANTEIRO DE OBRA, APOIADO EM ESTRUTURA DE MADEIRA. AF_02/2016</v>
      </c>
      <c r="C350" s="1941"/>
      <c r="D350" s="1941"/>
      <c r="E350" s="1941"/>
      <c r="F350" s="1941"/>
      <c r="G350" s="1941"/>
      <c r="H350" s="1942"/>
      <c r="I350" s="1785" t="str">
        <f>VLOOKUP(A350,'PLANILHA SEM DESON'!$B$17:$D$1700,3,FALSE)</f>
        <v xml:space="preserve">un </v>
      </c>
      <c r="J350" s="1786">
        <f>I360</f>
        <v>6309.6399999999994</v>
      </c>
    </row>
    <row r="351" spans="1:10" ht="24">
      <c r="A351" s="1788" t="s">
        <v>2470</v>
      </c>
      <c r="B351" s="1789" t="s">
        <v>2471</v>
      </c>
      <c r="C351" s="1790" t="s">
        <v>2468</v>
      </c>
      <c r="D351" s="1791" t="s">
        <v>308</v>
      </c>
      <c r="E351" s="1790" t="s">
        <v>202</v>
      </c>
      <c r="F351" s="1792" t="s">
        <v>2472</v>
      </c>
      <c r="G351" s="1790" t="s">
        <v>2473</v>
      </c>
      <c r="H351" s="1793" t="s">
        <v>2474</v>
      </c>
      <c r="I351" s="1794" t="s">
        <v>2475</v>
      </c>
      <c r="J351" s="1795"/>
    </row>
    <row r="352" spans="1:10" ht="24">
      <c r="A352" s="1797" t="s">
        <v>2476</v>
      </c>
      <c r="B352" s="1798" t="s">
        <v>2479</v>
      </c>
      <c r="C352" s="1798">
        <v>34636</v>
      </c>
      <c r="D352" s="1799" t="s">
        <v>2596</v>
      </c>
      <c r="E352" s="1800" t="s">
        <v>2501</v>
      </c>
      <c r="F352" s="1807">
        <v>1</v>
      </c>
      <c r="G352" s="1801">
        <v>459</v>
      </c>
      <c r="H352" s="1802">
        <f t="shared" ref="H352:H359" si="34">IF(E352="H",G352,TRUNC(G352*(1-$K$7),2))</f>
        <v>456.65</v>
      </c>
      <c r="I352" s="1803">
        <f t="shared" ref="I352:I359" si="35">TRUNC(H352*F352,2)</f>
        <v>456.65</v>
      </c>
      <c r="J352" s="1795"/>
    </row>
    <row r="353" spans="1:10" ht="36">
      <c r="A353" s="1797" t="s">
        <v>2476</v>
      </c>
      <c r="B353" s="1798" t="s">
        <v>7</v>
      </c>
      <c r="C353" s="1798">
        <v>89408</v>
      </c>
      <c r="D353" s="1799" t="s">
        <v>2597</v>
      </c>
      <c r="E353" s="1800" t="s">
        <v>2501</v>
      </c>
      <c r="F353" s="1807">
        <v>3</v>
      </c>
      <c r="G353" s="1801">
        <v>8.39</v>
      </c>
      <c r="H353" s="1802">
        <f t="shared" si="34"/>
        <v>8.34</v>
      </c>
      <c r="I353" s="1803">
        <f t="shared" si="35"/>
        <v>25.02</v>
      </c>
      <c r="J353" s="1795"/>
    </row>
    <row r="354" spans="1:10" ht="48">
      <c r="A354" s="1797" t="s">
        <v>2476</v>
      </c>
      <c r="B354" s="1798" t="s">
        <v>7</v>
      </c>
      <c r="C354" s="1798">
        <v>89972</v>
      </c>
      <c r="D354" s="1799" t="s">
        <v>2598</v>
      </c>
      <c r="E354" s="1800" t="s">
        <v>2501</v>
      </c>
      <c r="F354" s="1807">
        <v>1</v>
      </c>
      <c r="G354" s="1801">
        <v>48.53</v>
      </c>
      <c r="H354" s="1802">
        <f t="shared" si="34"/>
        <v>48.28</v>
      </c>
      <c r="I354" s="1803">
        <f t="shared" ref="I354" si="36">TRUNC(H354*F354,2)</f>
        <v>48.28</v>
      </c>
      <c r="J354" s="1795"/>
    </row>
    <row r="355" spans="1:10" ht="48">
      <c r="A355" s="1797" t="s">
        <v>2476</v>
      </c>
      <c r="B355" s="1798" t="s">
        <v>7</v>
      </c>
      <c r="C355" s="1798">
        <v>94648</v>
      </c>
      <c r="D355" s="1799" t="s">
        <v>2599</v>
      </c>
      <c r="E355" s="1800" t="s">
        <v>160</v>
      </c>
      <c r="F355" s="1807">
        <v>19</v>
      </c>
      <c r="G355" s="1801">
        <v>12.02</v>
      </c>
      <c r="H355" s="1802">
        <f t="shared" si="34"/>
        <v>11.95</v>
      </c>
      <c r="I355" s="1803">
        <f t="shared" si="35"/>
        <v>227.05</v>
      </c>
      <c r="J355" s="1795"/>
    </row>
    <row r="356" spans="1:10" ht="48">
      <c r="A356" s="1797" t="s">
        <v>2476</v>
      </c>
      <c r="B356" s="1798" t="s">
        <v>7</v>
      </c>
      <c r="C356" s="1798">
        <v>94688</v>
      </c>
      <c r="D356" s="1799" t="s">
        <v>2600</v>
      </c>
      <c r="E356" s="1800" t="s">
        <v>2501</v>
      </c>
      <c r="F356" s="1807">
        <v>2</v>
      </c>
      <c r="G356" s="1801">
        <v>11.57</v>
      </c>
      <c r="H356" s="1802">
        <f t="shared" si="34"/>
        <v>11.51</v>
      </c>
      <c r="I356" s="1803">
        <f t="shared" si="35"/>
        <v>23.02</v>
      </c>
      <c r="J356" s="1795"/>
    </row>
    <row r="357" spans="1:10" ht="60">
      <c r="A357" s="1797" t="s">
        <v>2476</v>
      </c>
      <c r="B357" s="1798" t="s">
        <v>7</v>
      </c>
      <c r="C357" s="1798">
        <v>94703</v>
      </c>
      <c r="D357" s="1799" t="s">
        <v>2601</v>
      </c>
      <c r="E357" s="1800" t="s">
        <v>2501</v>
      </c>
      <c r="F357" s="1807">
        <v>1</v>
      </c>
      <c r="G357" s="1801">
        <v>25.49</v>
      </c>
      <c r="H357" s="1802">
        <f t="shared" si="34"/>
        <v>25.36</v>
      </c>
      <c r="I357" s="1803">
        <f t="shared" si="35"/>
        <v>25.36</v>
      </c>
      <c r="J357" s="1795"/>
    </row>
    <row r="358" spans="1:10" ht="24">
      <c r="A358" s="1797" t="s">
        <v>2476</v>
      </c>
      <c r="B358" s="1798" t="s">
        <v>7</v>
      </c>
      <c r="C358" s="1798">
        <v>94796</v>
      </c>
      <c r="D358" s="1799" t="s">
        <v>2602</v>
      </c>
      <c r="E358" s="1800" t="s">
        <v>2501</v>
      </c>
      <c r="F358" s="1807">
        <v>1</v>
      </c>
      <c r="G358" s="1801">
        <v>46.26</v>
      </c>
      <c r="H358" s="1802">
        <f t="shared" si="34"/>
        <v>46.02</v>
      </c>
      <c r="I358" s="1803">
        <f t="shared" si="35"/>
        <v>46.02</v>
      </c>
      <c r="J358" s="1795"/>
    </row>
    <row r="359" spans="1:10" ht="24">
      <c r="A359" s="1797" t="s">
        <v>2476</v>
      </c>
      <c r="B359" s="1798" t="s">
        <v>7</v>
      </c>
      <c r="C359" s="1798">
        <v>98461</v>
      </c>
      <c r="D359" s="1799" t="s">
        <v>2603</v>
      </c>
      <c r="E359" s="1800" t="s">
        <v>2501</v>
      </c>
      <c r="F359" s="1807">
        <v>1</v>
      </c>
      <c r="G359" s="1801">
        <v>5486.22</v>
      </c>
      <c r="H359" s="1802">
        <f t="shared" si="34"/>
        <v>5458.24</v>
      </c>
      <c r="I359" s="1803">
        <f t="shared" si="35"/>
        <v>5458.24</v>
      </c>
      <c r="J359" s="1795"/>
    </row>
    <row r="360" spans="1:10">
      <c r="A360" s="1943" t="s">
        <v>2477</v>
      </c>
      <c r="B360" s="1944"/>
      <c r="C360" s="1944"/>
      <c r="D360" s="1944"/>
      <c r="E360" s="1944"/>
      <c r="F360" s="1944"/>
      <c r="G360" s="1944"/>
      <c r="H360" s="1945"/>
      <c r="I360" s="1805">
        <f>SUM(I352:I359)</f>
        <v>6309.6399999999994</v>
      </c>
      <c r="J360" s="1795"/>
    </row>
    <row r="361" spans="1:10">
      <c r="A361" s="1929"/>
      <c r="B361" s="1930"/>
      <c r="C361" s="1930"/>
      <c r="D361" s="1930"/>
      <c r="E361" s="1930"/>
      <c r="F361" s="1930"/>
      <c r="G361" s="1930"/>
      <c r="H361" s="1930"/>
      <c r="I361" s="1931"/>
      <c r="J361" s="1795"/>
    </row>
    <row r="362" spans="1:10" ht="26.25" customHeight="1">
      <c r="A362" s="1784">
        <f>'PLANILHA SEM DESON'!B32</f>
        <v>95635</v>
      </c>
      <c r="B362" s="1940" t="str">
        <f>VLOOKUP(A362,'PLANILHA SEM DESON'!$B$17:$D$1700,2,FALSE)</f>
        <v>KIT CAVALETE PARA MEDIÇÃO DE ÁGUA - ENTRADA PRINCIPAL, EM PVC SOLDÁVEL DN 25 (¾")  FORNECIMENTO E INSTALAÇÃO (EXCLUSIVE HIDRÔMETRO). AF_11/2016</v>
      </c>
      <c r="C362" s="1941"/>
      <c r="D362" s="1941"/>
      <c r="E362" s="1941"/>
      <c r="F362" s="1941"/>
      <c r="G362" s="1941"/>
      <c r="H362" s="1942"/>
      <c r="I362" s="1785" t="str">
        <f>VLOOKUP(A362,'PLANILHA SEM DESON'!$B$17:$D$1700,3,FALSE)</f>
        <v xml:space="preserve">un </v>
      </c>
      <c r="J362" s="1786">
        <f>I370</f>
        <v>284.45999999999998</v>
      </c>
    </row>
    <row r="363" spans="1:10" ht="24">
      <c r="A363" s="1788" t="s">
        <v>2470</v>
      </c>
      <c r="B363" s="1789" t="s">
        <v>2471</v>
      </c>
      <c r="C363" s="1790" t="s">
        <v>2468</v>
      </c>
      <c r="D363" s="1791" t="s">
        <v>308</v>
      </c>
      <c r="E363" s="1790" t="s">
        <v>202</v>
      </c>
      <c r="F363" s="1792" t="s">
        <v>2472</v>
      </c>
      <c r="G363" s="1790" t="s">
        <v>2473</v>
      </c>
      <c r="H363" s="1793" t="s">
        <v>2474</v>
      </c>
      <c r="I363" s="1794" t="s">
        <v>2475</v>
      </c>
      <c r="J363" s="1795"/>
    </row>
    <row r="364" spans="1:10" ht="24">
      <c r="A364" s="1797" t="s">
        <v>2476</v>
      </c>
      <c r="B364" s="1798" t="s">
        <v>2479</v>
      </c>
      <c r="C364" s="1798">
        <v>3729</v>
      </c>
      <c r="D364" s="1799" t="s">
        <v>2604</v>
      </c>
      <c r="E364" s="1800" t="s">
        <v>2501</v>
      </c>
      <c r="F364" s="1807">
        <v>1</v>
      </c>
      <c r="G364" s="1801">
        <v>194.34</v>
      </c>
      <c r="H364" s="1802">
        <f t="shared" ref="H364:H369" si="37">IF(E364="H",G364,TRUNC(G364*(1-$K$7),2))</f>
        <v>193.34</v>
      </c>
      <c r="I364" s="1803">
        <f t="shared" ref="I364:I369" si="38">TRUNC(H364*F364,2)</f>
        <v>193.34</v>
      </c>
      <c r="J364" s="1795"/>
    </row>
    <row r="365" spans="1:10">
      <c r="A365" s="1797" t="s">
        <v>2476</v>
      </c>
      <c r="B365" s="1798" t="s">
        <v>2479</v>
      </c>
      <c r="C365" s="1798">
        <v>20080</v>
      </c>
      <c r="D365" s="1799" t="s">
        <v>2605</v>
      </c>
      <c r="E365" s="1800" t="s">
        <v>2501</v>
      </c>
      <c r="F365" s="1807">
        <v>0.30599999999999999</v>
      </c>
      <c r="G365" s="1801">
        <v>25.09</v>
      </c>
      <c r="H365" s="1802">
        <f t="shared" si="37"/>
        <v>24.96</v>
      </c>
      <c r="I365" s="1803">
        <f t="shared" si="38"/>
        <v>7.63</v>
      </c>
      <c r="J365" s="1795"/>
    </row>
    <row r="366" spans="1:10" ht="24">
      <c r="A366" s="1797" t="s">
        <v>2476</v>
      </c>
      <c r="B366" s="1798" t="s">
        <v>2479</v>
      </c>
      <c r="C366" s="1798">
        <v>20083</v>
      </c>
      <c r="D366" s="1799" t="s">
        <v>2606</v>
      </c>
      <c r="E366" s="1800" t="s">
        <v>2501</v>
      </c>
      <c r="F366" s="1807">
        <v>7.1999999999999995E-2</v>
      </c>
      <c r="G366" s="1801">
        <v>87.08</v>
      </c>
      <c r="H366" s="1802">
        <f t="shared" si="37"/>
        <v>86.63</v>
      </c>
      <c r="I366" s="1803">
        <f t="shared" si="38"/>
        <v>6.23</v>
      </c>
      <c r="J366" s="1795"/>
    </row>
    <row r="367" spans="1:10">
      <c r="A367" s="1797" t="s">
        <v>2476</v>
      </c>
      <c r="B367" s="1798" t="s">
        <v>2479</v>
      </c>
      <c r="C367" s="1798">
        <v>38383</v>
      </c>
      <c r="D367" s="1799" t="s">
        <v>2607</v>
      </c>
      <c r="E367" s="1800" t="s">
        <v>2501</v>
      </c>
      <c r="F367" s="1807">
        <v>0.39600000000000002</v>
      </c>
      <c r="G367" s="1801">
        <v>2.56</v>
      </c>
      <c r="H367" s="1802">
        <f t="shared" si="37"/>
        <v>2.54</v>
      </c>
      <c r="I367" s="1803">
        <f t="shared" si="38"/>
        <v>1</v>
      </c>
      <c r="J367" s="1795"/>
    </row>
    <row r="368" spans="1:10" ht="24">
      <c r="A368" s="1797" t="s">
        <v>2476</v>
      </c>
      <c r="B368" s="1798" t="s">
        <v>7</v>
      </c>
      <c r="C368" s="1798">
        <v>88248</v>
      </c>
      <c r="D368" s="1799" t="s">
        <v>101</v>
      </c>
      <c r="E368" s="1800" t="s">
        <v>411</v>
      </c>
      <c r="F368" s="1807">
        <v>1.7024999999999999</v>
      </c>
      <c r="G368" s="1801">
        <v>20.16</v>
      </c>
      <c r="H368" s="1802">
        <f t="shared" si="37"/>
        <v>20.16</v>
      </c>
      <c r="I368" s="1803">
        <f t="shared" si="38"/>
        <v>34.32</v>
      </c>
      <c r="J368" s="1795"/>
    </row>
    <row r="369" spans="1:10" ht="24">
      <c r="A369" s="1797" t="s">
        <v>2476</v>
      </c>
      <c r="B369" s="1798" t="s">
        <v>7</v>
      </c>
      <c r="C369" s="1798">
        <v>88267</v>
      </c>
      <c r="D369" s="1799" t="s">
        <v>102</v>
      </c>
      <c r="E369" s="1800" t="s">
        <v>411</v>
      </c>
      <c r="F369" s="1807">
        <v>1.7024999999999999</v>
      </c>
      <c r="G369" s="1801">
        <v>24.64</v>
      </c>
      <c r="H369" s="1802">
        <f t="shared" si="37"/>
        <v>24.64</v>
      </c>
      <c r="I369" s="1803">
        <f t="shared" si="38"/>
        <v>41.94</v>
      </c>
      <c r="J369" s="1795"/>
    </row>
    <row r="370" spans="1:10">
      <c r="A370" s="1943" t="s">
        <v>2477</v>
      </c>
      <c r="B370" s="1944"/>
      <c r="C370" s="1944"/>
      <c r="D370" s="1944"/>
      <c r="E370" s="1944"/>
      <c r="F370" s="1944"/>
      <c r="G370" s="1944"/>
      <c r="H370" s="1945"/>
      <c r="I370" s="1805">
        <f>SUM(I364:I369)</f>
        <v>284.45999999999998</v>
      </c>
      <c r="J370" s="1795"/>
    </row>
    <row r="371" spans="1:10">
      <c r="A371" s="1929"/>
      <c r="B371" s="1930"/>
      <c r="C371" s="1930"/>
      <c r="D371" s="1930"/>
      <c r="E371" s="1930"/>
      <c r="F371" s="1930"/>
      <c r="G371" s="1930"/>
      <c r="H371" s="1930"/>
      <c r="I371" s="1931"/>
      <c r="J371" s="1795"/>
    </row>
    <row r="372" spans="1:10">
      <c r="A372" s="1784">
        <f>'PLANILHA SEM DESON'!B33</f>
        <v>95675</v>
      </c>
      <c r="B372" s="1940" t="str">
        <f>VLOOKUP(A372,'PLANILHA SEM DESON'!$B$17:$D$1700,2,FALSE)</f>
        <v>HIDRÔMETRO DN 25 (¾ ), 5,0 M³/H FORNECIMENTO E INSTALAÇÃO. AF_11/2016</v>
      </c>
      <c r="C372" s="1941"/>
      <c r="D372" s="1941"/>
      <c r="E372" s="1941"/>
      <c r="F372" s="1941"/>
      <c r="G372" s="1941"/>
      <c r="H372" s="1942"/>
      <c r="I372" s="1785" t="str">
        <f>VLOOKUP(A372,'PLANILHA SEM DESON'!$B$17:$D$1700,3,FALSE)</f>
        <v xml:space="preserve">un </v>
      </c>
      <c r="J372" s="1786">
        <f>I378</f>
        <v>143.04999999999998</v>
      </c>
    </row>
    <row r="373" spans="1:10" ht="24">
      <c r="A373" s="1788" t="s">
        <v>2470</v>
      </c>
      <c r="B373" s="1789" t="s">
        <v>2471</v>
      </c>
      <c r="C373" s="1790" t="s">
        <v>2468</v>
      </c>
      <c r="D373" s="1791" t="s">
        <v>308</v>
      </c>
      <c r="E373" s="1790" t="s">
        <v>202</v>
      </c>
      <c r="F373" s="1792" t="s">
        <v>2472</v>
      </c>
      <c r="G373" s="1790" t="s">
        <v>2473</v>
      </c>
      <c r="H373" s="1793" t="s">
        <v>2474</v>
      </c>
      <c r="I373" s="1794" t="s">
        <v>2475</v>
      </c>
      <c r="J373" s="1795"/>
    </row>
    <row r="374" spans="1:10">
      <c r="A374" s="1797" t="s">
        <v>2476</v>
      </c>
      <c r="B374" s="1798" t="s">
        <v>2479</v>
      </c>
      <c r="C374" s="1798">
        <v>3148</v>
      </c>
      <c r="D374" s="1799" t="s">
        <v>2608</v>
      </c>
      <c r="E374" s="1800" t="s">
        <v>2501</v>
      </c>
      <c r="F374" s="1807">
        <v>1.9800000000000002E-2</v>
      </c>
      <c r="G374" s="1801">
        <v>17.989999999999998</v>
      </c>
      <c r="H374" s="1802">
        <f>IF(E374="H",G374,TRUNC(G374*(1-$K$7),2))</f>
        <v>17.89</v>
      </c>
      <c r="I374" s="1803">
        <f t="shared" ref="I374:I377" si="39">TRUNC(H374*F374,2)</f>
        <v>0.35</v>
      </c>
      <c r="J374" s="1795"/>
    </row>
    <row r="375" spans="1:10" ht="48">
      <c r="A375" s="1797" t="s">
        <v>2476</v>
      </c>
      <c r="B375" s="1798" t="s">
        <v>2479</v>
      </c>
      <c r="C375" s="1798">
        <v>12774</v>
      </c>
      <c r="D375" s="1799" t="s">
        <v>2609</v>
      </c>
      <c r="E375" s="1800" t="s">
        <v>2501</v>
      </c>
      <c r="F375" s="1807">
        <v>1</v>
      </c>
      <c r="G375" s="1801">
        <v>119.77</v>
      </c>
      <c r="H375" s="1802">
        <f>IF(E375="H",G375,TRUNC(G375*(1-$K$7),2))</f>
        <v>119.15</v>
      </c>
      <c r="I375" s="1803">
        <f t="shared" si="39"/>
        <v>119.15</v>
      </c>
      <c r="J375" s="1795"/>
    </row>
    <row r="376" spans="1:10" ht="24">
      <c r="A376" s="1797" t="s">
        <v>2476</v>
      </c>
      <c r="B376" s="1798" t="s">
        <v>7</v>
      </c>
      <c r="C376" s="1798">
        <v>88248</v>
      </c>
      <c r="D376" s="1799" t="s">
        <v>101</v>
      </c>
      <c r="E376" s="1800" t="s">
        <v>411</v>
      </c>
      <c r="F376" s="1807">
        <v>0.52590000000000003</v>
      </c>
      <c r="G376" s="1801">
        <v>20.16</v>
      </c>
      <c r="H376" s="1802">
        <f>IF(E376="H",G376,TRUNC(G376*(1-$K$7),2))</f>
        <v>20.16</v>
      </c>
      <c r="I376" s="1803">
        <f t="shared" si="39"/>
        <v>10.6</v>
      </c>
      <c r="J376" s="1795"/>
    </row>
    <row r="377" spans="1:10" ht="24">
      <c r="A377" s="1797" t="s">
        <v>2476</v>
      </c>
      <c r="B377" s="1798" t="s">
        <v>7</v>
      </c>
      <c r="C377" s="1798">
        <v>88267</v>
      </c>
      <c r="D377" s="1799" t="s">
        <v>102</v>
      </c>
      <c r="E377" s="1800" t="s">
        <v>411</v>
      </c>
      <c r="F377" s="1807">
        <v>0.52590000000000003</v>
      </c>
      <c r="G377" s="1801">
        <v>24.64</v>
      </c>
      <c r="H377" s="1802">
        <f>IF(E377="H",G377,TRUNC(G377*(1-$K$7),2))</f>
        <v>24.64</v>
      </c>
      <c r="I377" s="1803">
        <f t="shared" si="39"/>
        <v>12.95</v>
      </c>
      <c r="J377" s="1795"/>
    </row>
    <row r="378" spans="1:10">
      <c r="A378" s="1943" t="s">
        <v>2477</v>
      </c>
      <c r="B378" s="1944"/>
      <c r="C378" s="1944"/>
      <c r="D378" s="1944"/>
      <c r="E378" s="1944"/>
      <c r="F378" s="1944"/>
      <c r="G378" s="1944"/>
      <c r="H378" s="1945"/>
      <c r="I378" s="1805">
        <f>SUM(I374:I377)</f>
        <v>143.04999999999998</v>
      </c>
      <c r="J378" s="1795"/>
    </row>
    <row r="379" spans="1:10">
      <c r="A379" s="1929"/>
      <c r="B379" s="1930"/>
      <c r="C379" s="1930"/>
      <c r="D379" s="1930"/>
      <c r="E379" s="1930"/>
      <c r="F379" s="1930"/>
      <c r="G379" s="1930"/>
      <c r="H379" s="1930"/>
      <c r="I379" s="1931"/>
      <c r="J379" s="1795"/>
    </row>
    <row r="380" spans="1:10" ht="24" customHeight="1">
      <c r="A380" s="1784">
        <f>'PLANILHA SEM DESON'!B36</f>
        <v>101113</v>
      </c>
      <c r="B380" s="1940" t="str">
        <f>VLOOKUP(A380,'PLANILHA SEM DESON'!$B$17:$D$1700,2,FALSE)</f>
        <v>ALARGAMENTO DE BASE DE TUBULÃO A CÉU ABERTO, ESCAVAÇÃO MANUAL, CONCRETO USINADO E LANÇADO COM BOMBA OU DIRETAMENTE DO CAMINHÃO. AF_05/2020</v>
      </c>
      <c r="C380" s="1941"/>
      <c r="D380" s="1941"/>
      <c r="E380" s="1941"/>
      <c r="F380" s="1941"/>
      <c r="G380" s="1941"/>
      <c r="H380" s="1942"/>
      <c r="I380" s="1785" t="str">
        <f>VLOOKUP(A380,'PLANILHA SEM DESON'!$B$17:$D$1700,3,FALSE)</f>
        <v>m³</v>
      </c>
      <c r="J380" s="1786">
        <f>I391</f>
        <v>1016.26</v>
      </c>
    </row>
    <row r="381" spans="1:10" ht="24">
      <c r="A381" s="1788" t="s">
        <v>2470</v>
      </c>
      <c r="B381" s="1789" t="s">
        <v>2471</v>
      </c>
      <c r="C381" s="1790" t="s">
        <v>2468</v>
      </c>
      <c r="D381" s="1791" t="s">
        <v>308</v>
      </c>
      <c r="E381" s="1790" t="s">
        <v>202</v>
      </c>
      <c r="F381" s="1792" t="s">
        <v>2472</v>
      </c>
      <c r="G381" s="1790" t="s">
        <v>2473</v>
      </c>
      <c r="H381" s="1793" t="s">
        <v>2474</v>
      </c>
      <c r="I381" s="1794" t="s">
        <v>2475</v>
      </c>
      <c r="J381" s="1795"/>
    </row>
    <row r="382" spans="1:10" ht="36">
      <c r="A382" s="1797" t="s">
        <v>2476</v>
      </c>
      <c r="B382" s="1798" t="s">
        <v>2479</v>
      </c>
      <c r="C382" s="1798">
        <v>38405</v>
      </c>
      <c r="D382" s="1799" t="s">
        <v>2610</v>
      </c>
      <c r="E382" s="1800" t="s">
        <v>1171</v>
      </c>
      <c r="F382" s="1807">
        <v>1.24</v>
      </c>
      <c r="G382" s="1801">
        <v>635.30999999999995</v>
      </c>
      <c r="H382" s="1802">
        <f t="shared" ref="H382:H390" si="40">IF(E382="H",G382,TRUNC(G382*(1-$K$7),2))</f>
        <v>632.05999999999995</v>
      </c>
      <c r="I382" s="1803">
        <f t="shared" ref="I382:I390" si="41">TRUNC(H382*F382,2)</f>
        <v>783.75</v>
      </c>
      <c r="J382" s="1795"/>
    </row>
    <row r="383" spans="1:10">
      <c r="A383" s="1797" t="s">
        <v>2476</v>
      </c>
      <c r="B383" s="1798" t="s">
        <v>7</v>
      </c>
      <c r="C383" s="1798">
        <v>88309</v>
      </c>
      <c r="D383" s="1799" t="s">
        <v>103</v>
      </c>
      <c r="E383" s="1800" t="s">
        <v>411</v>
      </c>
      <c r="F383" s="1807">
        <v>0.377</v>
      </c>
      <c r="G383" s="1801">
        <v>24.59</v>
      </c>
      <c r="H383" s="1802">
        <f t="shared" si="40"/>
        <v>24.59</v>
      </c>
      <c r="I383" s="1803">
        <f t="shared" ref="I383:I384" si="42">TRUNC(H383*F383,2)</f>
        <v>9.27</v>
      </c>
      <c r="J383" s="1795"/>
    </row>
    <row r="384" spans="1:10">
      <c r="A384" s="1797" t="s">
        <v>2476</v>
      </c>
      <c r="B384" s="1798" t="s">
        <v>7</v>
      </c>
      <c r="C384" s="1798">
        <v>88313</v>
      </c>
      <c r="D384" s="1799" t="s">
        <v>2611</v>
      </c>
      <c r="E384" s="1800" t="s">
        <v>411</v>
      </c>
      <c r="F384" s="1807">
        <v>4.7530000000000001</v>
      </c>
      <c r="G384" s="1801">
        <v>17.98</v>
      </c>
      <c r="H384" s="1802">
        <f t="shared" si="40"/>
        <v>17.98</v>
      </c>
      <c r="I384" s="1803">
        <f t="shared" si="42"/>
        <v>85.45</v>
      </c>
      <c r="J384" s="1795"/>
    </row>
    <row r="385" spans="1:10">
      <c r="A385" s="1797" t="s">
        <v>2476</v>
      </c>
      <c r="B385" s="1798" t="s">
        <v>7</v>
      </c>
      <c r="C385" s="1798">
        <v>88316</v>
      </c>
      <c r="D385" s="1799" t="s">
        <v>66</v>
      </c>
      <c r="E385" s="1800" t="s">
        <v>411</v>
      </c>
      <c r="F385" s="1807">
        <v>0.56499999999999995</v>
      </c>
      <c r="G385" s="1801">
        <v>19.45</v>
      </c>
      <c r="H385" s="1802">
        <f t="shared" si="40"/>
        <v>19.45</v>
      </c>
      <c r="I385" s="1803">
        <f t="shared" si="41"/>
        <v>10.98</v>
      </c>
      <c r="J385" s="1795"/>
    </row>
    <row r="386" spans="1:10" ht="24">
      <c r="A386" s="1797" t="s">
        <v>2476</v>
      </c>
      <c r="B386" s="1798" t="s">
        <v>7</v>
      </c>
      <c r="C386" s="1798">
        <v>90776</v>
      </c>
      <c r="D386" s="1799" t="s">
        <v>119</v>
      </c>
      <c r="E386" s="1800" t="s">
        <v>411</v>
      </c>
      <c r="F386" s="1807">
        <v>1.1879999999999999</v>
      </c>
      <c r="G386" s="1801">
        <v>28.39</v>
      </c>
      <c r="H386" s="1802">
        <f t="shared" si="40"/>
        <v>28.39</v>
      </c>
      <c r="I386" s="1803">
        <f t="shared" si="41"/>
        <v>33.72</v>
      </c>
      <c r="J386" s="1795"/>
    </row>
    <row r="387" spans="1:10" ht="24">
      <c r="A387" s="1797" t="s">
        <v>2476</v>
      </c>
      <c r="B387" s="1798" t="s">
        <v>7</v>
      </c>
      <c r="C387" s="1798">
        <v>90778</v>
      </c>
      <c r="D387" s="1799" t="s">
        <v>2612</v>
      </c>
      <c r="E387" s="1800" t="s">
        <v>411</v>
      </c>
      <c r="F387" s="1807">
        <v>0.39600000000000002</v>
      </c>
      <c r="G387" s="1801">
        <v>117.21</v>
      </c>
      <c r="H387" s="1802">
        <f t="shared" si="40"/>
        <v>117.21</v>
      </c>
      <c r="I387" s="1803">
        <f t="shared" si="41"/>
        <v>46.41</v>
      </c>
      <c r="J387" s="1795"/>
    </row>
    <row r="388" spans="1:10" ht="36">
      <c r="A388" s="1797" t="s">
        <v>2476</v>
      </c>
      <c r="B388" s="1798" t="s">
        <v>7</v>
      </c>
      <c r="C388" s="1798">
        <v>97913</v>
      </c>
      <c r="D388" s="1799" t="s">
        <v>2613</v>
      </c>
      <c r="E388" s="1800" t="s">
        <v>2614</v>
      </c>
      <c r="F388" s="1807">
        <v>0.375</v>
      </c>
      <c r="G388" s="1801">
        <v>2.87</v>
      </c>
      <c r="H388" s="1802">
        <f t="shared" si="40"/>
        <v>2.85</v>
      </c>
      <c r="I388" s="1803">
        <f t="shared" si="41"/>
        <v>1.06</v>
      </c>
      <c r="J388" s="1795"/>
    </row>
    <row r="389" spans="1:10" ht="24">
      <c r="A389" s="1797" t="s">
        <v>2476</v>
      </c>
      <c r="B389" s="1798" t="s">
        <v>7</v>
      </c>
      <c r="C389" s="1798">
        <v>100206</v>
      </c>
      <c r="D389" s="1799" t="s">
        <v>2615</v>
      </c>
      <c r="E389" s="1800" t="s">
        <v>2614</v>
      </c>
      <c r="F389" s="1807">
        <v>3.7499999999999999E-2</v>
      </c>
      <c r="G389" s="1801">
        <v>960.32</v>
      </c>
      <c r="H389" s="1802">
        <f t="shared" si="40"/>
        <v>955.42</v>
      </c>
      <c r="I389" s="1803">
        <f t="shared" si="41"/>
        <v>35.82</v>
      </c>
      <c r="J389" s="1795"/>
    </row>
    <row r="390" spans="1:10" ht="60">
      <c r="A390" s="1797" t="s">
        <v>2476</v>
      </c>
      <c r="B390" s="1798" t="s">
        <v>7</v>
      </c>
      <c r="C390" s="1798">
        <v>100973</v>
      </c>
      <c r="D390" s="1799" t="s">
        <v>2616</v>
      </c>
      <c r="E390" s="1800" t="s">
        <v>1171</v>
      </c>
      <c r="F390" s="1807">
        <v>1.25</v>
      </c>
      <c r="G390" s="1801">
        <v>7.89</v>
      </c>
      <c r="H390" s="1802">
        <f t="shared" si="40"/>
        <v>7.84</v>
      </c>
      <c r="I390" s="1803">
        <f t="shared" si="41"/>
        <v>9.8000000000000007</v>
      </c>
      <c r="J390" s="1795"/>
    </row>
    <row r="391" spans="1:10">
      <c r="A391" s="1943" t="s">
        <v>2477</v>
      </c>
      <c r="B391" s="1944"/>
      <c r="C391" s="1944"/>
      <c r="D391" s="1944"/>
      <c r="E391" s="1944"/>
      <c r="F391" s="1944"/>
      <c r="G391" s="1944"/>
      <c r="H391" s="1945"/>
      <c r="I391" s="1805">
        <f>SUM(I382:I390)</f>
        <v>1016.26</v>
      </c>
      <c r="J391" s="1795"/>
    </row>
    <row r="392" spans="1:10">
      <c r="A392" s="1929"/>
      <c r="B392" s="1930"/>
      <c r="C392" s="1930"/>
      <c r="D392" s="1930"/>
      <c r="E392" s="1930"/>
      <c r="F392" s="1930"/>
      <c r="G392" s="1930"/>
      <c r="H392" s="1930"/>
      <c r="I392" s="1931"/>
      <c r="J392" s="1795"/>
    </row>
    <row r="393" spans="1:10">
      <c r="A393" s="1784">
        <f>'PLANILHA SEM DESON'!B37</f>
        <v>96527</v>
      </c>
      <c r="B393" s="1940" t="str">
        <f>VLOOKUP(A393,'PLANILHA SEM DESON'!$B$17:$D$1700,2,FALSE)</f>
        <v>ESCAVAÇÃO MANUAL DE VALA PARA VIGA BALDRAME, COM PREVISÃO DE FÔRMA. AF_06/2017</v>
      </c>
      <c r="C393" s="1941"/>
      <c r="D393" s="1941"/>
      <c r="E393" s="1941"/>
      <c r="F393" s="1941"/>
      <c r="G393" s="1941"/>
      <c r="H393" s="1942"/>
      <c r="I393" s="1785" t="str">
        <f>VLOOKUP(A393,'PLANILHA SEM DESON'!$B$17:$D$1700,3,FALSE)</f>
        <v>m³</v>
      </c>
      <c r="J393" s="1786">
        <f>I397</f>
        <v>116.35</v>
      </c>
    </row>
    <row r="394" spans="1:10" ht="24">
      <c r="A394" s="1788" t="s">
        <v>2470</v>
      </c>
      <c r="B394" s="1789" t="s">
        <v>2471</v>
      </c>
      <c r="C394" s="1790" t="s">
        <v>2468</v>
      </c>
      <c r="D394" s="1791" t="s">
        <v>308</v>
      </c>
      <c r="E394" s="1790" t="s">
        <v>202</v>
      </c>
      <c r="F394" s="1792" t="s">
        <v>2472</v>
      </c>
      <c r="G394" s="1790" t="s">
        <v>2473</v>
      </c>
      <c r="H394" s="1793" t="s">
        <v>2474</v>
      </c>
      <c r="I394" s="1794" t="s">
        <v>2475</v>
      </c>
      <c r="J394" s="1795"/>
    </row>
    <row r="395" spans="1:10">
      <c r="A395" s="1797" t="s">
        <v>2476</v>
      </c>
      <c r="B395" s="1798" t="s">
        <v>7</v>
      </c>
      <c r="C395" s="1798">
        <v>88309</v>
      </c>
      <c r="D395" s="1799" t="s">
        <v>103</v>
      </c>
      <c r="E395" s="1800" t="s">
        <v>411</v>
      </c>
      <c r="F395" s="1807">
        <v>1.4590000000000001</v>
      </c>
      <c r="G395" s="1801">
        <v>24.59</v>
      </c>
      <c r="H395" s="1802">
        <f>IF(E395="H",G395,TRUNC(G395*(1-$K$7),2))</f>
        <v>24.59</v>
      </c>
      <c r="I395" s="1803">
        <f t="shared" ref="I395:I396" si="43">TRUNC(H395*F395,2)</f>
        <v>35.869999999999997</v>
      </c>
      <c r="J395" s="1795"/>
    </row>
    <row r="396" spans="1:10">
      <c r="A396" s="1797" t="s">
        <v>2476</v>
      </c>
      <c r="B396" s="1798" t="s">
        <v>7</v>
      </c>
      <c r="C396" s="1798">
        <v>88316</v>
      </c>
      <c r="D396" s="1799" t="s">
        <v>66</v>
      </c>
      <c r="E396" s="1800" t="s">
        <v>411</v>
      </c>
      <c r="F396" s="1807">
        <v>4.1379999999999999</v>
      </c>
      <c r="G396" s="1801">
        <v>19.45</v>
      </c>
      <c r="H396" s="1802">
        <f>IF(E396="H",G396,TRUNC(G396*(1-$K$7),2))</f>
        <v>19.45</v>
      </c>
      <c r="I396" s="1803">
        <f t="shared" si="43"/>
        <v>80.48</v>
      </c>
      <c r="J396" s="1795"/>
    </row>
    <row r="397" spans="1:10">
      <c r="A397" s="1943" t="s">
        <v>2477</v>
      </c>
      <c r="B397" s="1944"/>
      <c r="C397" s="1944"/>
      <c r="D397" s="1944"/>
      <c r="E397" s="1944"/>
      <c r="F397" s="1944"/>
      <c r="G397" s="1944"/>
      <c r="H397" s="1945"/>
      <c r="I397" s="1805">
        <f>SUM(I395:I396)</f>
        <v>116.35</v>
      </c>
      <c r="J397" s="1795"/>
    </row>
    <row r="398" spans="1:10">
      <c r="A398" s="1929"/>
      <c r="B398" s="1930"/>
      <c r="C398" s="1930"/>
      <c r="D398" s="1930"/>
      <c r="E398" s="1930"/>
      <c r="F398" s="1930"/>
      <c r="G398" s="1930"/>
      <c r="H398" s="1930"/>
      <c r="I398" s="1931"/>
      <c r="J398" s="1795"/>
    </row>
    <row r="399" spans="1:10">
      <c r="A399" s="1784">
        <f>'PLANILHA SEM DESON'!B38</f>
        <v>96995</v>
      </c>
      <c r="B399" s="1940" t="str">
        <f>VLOOKUP(A399,'PLANILHA SEM DESON'!$B$17:$D$1700,2,FALSE)</f>
        <v>REATERRO MANUAL APILOADO COM SOQUETE. AF_10/2017</v>
      </c>
      <c r="C399" s="1941"/>
      <c r="D399" s="1941"/>
      <c r="E399" s="1941"/>
      <c r="F399" s="1941"/>
      <c r="G399" s="1941"/>
      <c r="H399" s="1942"/>
      <c r="I399" s="1785" t="str">
        <f>VLOOKUP(A399,'PLANILHA SEM DESON'!$B$17:$D$1700,3,FALSE)</f>
        <v>m³</v>
      </c>
      <c r="J399" s="1786">
        <f>I402</f>
        <v>46.65</v>
      </c>
    </row>
    <row r="400" spans="1:10" ht="24">
      <c r="A400" s="1788" t="s">
        <v>2470</v>
      </c>
      <c r="B400" s="1789" t="s">
        <v>2471</v>
      </c>
      <c r="C400" s="1790" t="s">
        <v>2468</v>
      </c>
      <c r="D400" s="1791" t="s">
        <v>308</v>
      </c>
      <c r="E400" s="1790" t="s">
        <v>202</v>
      </c>
      <c r="F400" s="1792" t="s">
        <v>2472</v>
      </c>
      <c r="G400" s="1790" t="s">
        <v>2473</v>
      </c>
      <c r="H400" s="1793" t="s">
        <v>2474</v>
      </c>
      <c r="I400" s="1794" t="s">
        <v>2475</v>
      </c>
      <c r="J400" s="1795"/>
    </row>
    <row r="401" spans="1:10">
      <c r="A401" s="1797" t="s">
        <v>2476</v>
      </c>
      <c r="B401" s="1798" t="s">
        <v>7</v>
      </c>
      <c r="C401" s="1798">
        <v>88316</v>
      </c>
      <c r="D401" s="1799" t="s">
        <v>66</v>
      </c>
      <c r="E401" s="1800" t="s">
        <v>411</v>
      </c>
      <c r="F401" s="1807">
        <v>2.3986000000000001</v>
      </c>
      <c r="G401" s="1801">
        <v>19.45</v>
      </c>
      <c r="H401" s="1802">
        <f>IF(E401="H",G401,TRUNC(G401*(1-$K$7),2))</f>
        <v>19.45</v>
      </c>
      <c r="I401" s="1803">
        <f t="shared" ref="I401" si="44">TRUNC(H401*F401,2)</f>
        <v>46.65</v>
      </c>
      <c r="J401" s="1795"/>
    </row>
    <row r="402" spans="1:10">
      <c r="A402" s="1943" t="s">
        <v>2477</v>
      </c>
      <c r="B402" s="1944"/>
      <c r="C402" s="1944"/>
      <c r="D402" s="1944"/>
      <c r="E402" s="1944"/>
      <c r="F402" s="1944"/>
      <c r="G402" s="1944"/>
      <c r="H402" s="1945"/>
      <c r="I402" s="1805">
        <f>SUM(I401:I401)</f>
        <v>46.65</v>
      </c>
      <c r="J402" s="1795"/>
    </row>
    <row r="403" spans="1:10">
      <c r="A403" s="1929"/>
      <c r="B403" s="1930"/>
      <c r="C403" s="1930"/>
      <c r="D403" s="1930"/>
      <c r="E403" s="1930"/>
      <c r="F403" s="1930"/>
      <c r="G403" s="1930"/>
      <c r="H403" s="1930"/>
      <c r="I403" s="1931"/>
      <c r="J403" s="1795"/>
    </row>
    <row r="404" spans="1:10" ht="24" customHeight="1">
      <c r="A404" s="1784">
        <f>'PLANILHA SEM DESON'!B42</f>
        <v>96536</v>
      </c>
      <c r="B404" s="1940" t="str">
        <f>VLOOKUP(A404,'PLANILHA SEM DESON'!$B$17:$D$1700,2,FALSE)</f>
        <v>FABRICAÇÃO, MONTAGEM E DESMONTAGEM DE FÔRMA PARA VIGA BALDRAME, EM MADEIRA SERRADA, E=25 MM, 4 UTILIZAÇÕES. AF_06/2017</v>
      </c>
      <c r="C404" s="1941"/>
      <c r="D404" s="1941"/>
      <c r="E404" s="1941"/>
      <c r="F404" s="1941"/>
      <c r="G404" s="1941"/>
      <c r="H404" s="1942"/>
      <c r="I404" s="1785" t="str">
        <f>VLOOKUP(A404,'PLANILHA SEM DESON'!$B$17:$D$1700,3,FALSE)</f>
        <v>m²</v>
      </c>
      <c r="J404" s="1786">
        <f>I416</f>
        <v>75.670000000000016</v>
      </c>
    </row>
    <row r="405" spans="1:10" ht="24">
      <c r="A405" s="1788" t="s">
        <v>2470</v>
      </c>
      <c r="B405" s="1789" t="s">
        <v>2471</v>
      </c>
      <c r="C405" s="1790" t="s">
        <v>2468</v>
      </c>
      <c r="D405" s="1791" t="s">
        <v>308</v>
      </c>
      <c r="E405" s="1790" t="s">
        <v>202</v>
      </c>
      <c r="F405" s="1792" t="s">
        <v>2472</v>
      </c>
      <c r="G405" s="1790" t="s">
        <v>2473</v>
      </c>
      <c r="H405" s="1793" t="s">
        <v>2474</v>
      </c>
      <c r="I405" s="1794" t="s">
        <v>2475</v>
      </c>
      <c r="J405" s="1795"/>
    </row>
    <row r="406" spans="1:10" ht="24">
      <c r="A406" s="1797" t="s">
        <v>2476</v>
      </c>
      <c r="B406" s="1798" t="s">
        <v>2479</v>
      </c>
      <c r="C406" s="1798">
        <v>2692</v>
      </c>
      <c r="D406" s="1799" t="s">
        <v>1730</v>
      </c>
      <c r="E406" s="1800" t="s">
        <v>455</v>
      </c>
      <c r="F406" s="1807">
        <v>1.7000000000000001E-2</v>
      </c>
      <c r="G406" s="1801">
        <v>8.84</v>
      </c>
      <c r="H406" s="1802">
        <f t="shared" ref="H406:H415" si="45">IF(E406="H",G406,TRUNC(G406*(1-$K$7),2))</f>
        <v>8.7899999999999991</v>
      </c>
      <c r="I406" s="1803">
        <f t="shared" ref="I406:I415" si="46">TRUNC(H406*F406,2)</f>
        <v>0.14000000000000001</v>
      </c>
      <c r="J406" s="1795"/>
    </row>
    <row r="407" spans="1:10" ht="24">
      <c r="A407" s="1797" t="s">
        <v>2476</v>
      </c>
      <c r="B407" s="1798" t="s">
        <v>2479</v>
      </c>
      <c r="C407" s="1798">
        <v>4491</v>
      </c>
      <c r="D407" s="1799" t="s">
        <v>1433</v>
      </c>
      <c r="E407" s="1800" t="s">
        <v>160</v>
      </c>
      <c r="F407" s="1807">
        <v>0.60499999999999998</v>
      </c>
      <c r="G407" s="1801">
        <v>11.67</v>
      </c>
      <c r="H407" s="1802">
        <f t="shared" si="45"/>
        <v>11.61</v>
      </c>
      <c r="I407" s="1803">
        <f t="shared" ref="I407:I409" si="47">TRUNC(H407*F407,2)</f>
        <v>7.02</v>
      </c>
      <c r="J407" s="1795"/>
    </row>
    <row r="408" spans="1:10" ht="24">
      <c r="A408" s="1797" t="s">
        <v>2476</v>
      </c>
      <c r="B408" s="1798" t="s">
        <v>2479</v>
      </c>
      <c r="C408" s="1798">
        <v>4517</v>
      </c>
      <c r="D408" s="1799" t="s">
        <v>1731</v>
      </c>
      <c r="E408" s="1800" t="s">
        <v>160</v>
      </c>
      <c r="F408" s="1807">
        <v>0.56699999999999995</v>
      </c>
      <c r="G408" s="1801">
        <v>4.08</v>
      </c>
      <c r="H408" s="1802">
        <f t="shared" si="45"/>
        <v>4.05</v>
      </c>
      <c r="I408" s="1803">
        <f t="shared" si="47"/>
        <v>2.29</v>
      </c>
      <c r="J408" s="1795"/>
    </row>
    <row r="409" spans="1:10" ht="24">
      <c r="A409" s="1797" t="s">
        <v>2476</v>
      </c>
      <c r="B409" s="1798" t="s">
        <v>2479</v>
      </c>
      <c r="C409" s="1798">
        <v>5073</v>
      </c>
      <c r="D409" s="1799" t="s">
        <v>2617</v>
      </c>
      <c r="E409" s="1800" t="s">
        <v>1184</v>
      </c>
      <c r="F409" s="1807">
        <v>2.5999999999999999E-2</v>
      </c>
      <c r="G409" s="1801">
        <v>26.39</v>
      </c>
      <c r="H409" s="1802">
        <f t="shared" si="45"/>
        <v>26.25</v>
      </c>
      <c r="I409" s="1803">
        <f t="shared" si="47"/>
        <v>0.68</v>
      </c>
      <c r="J409" s="1795"/>
    </row>
    <row r="410" spans="1:10" ht="36">
      <c r="A410" s="1797" t="s">
        <v>2476</v>
      </c>
      <c r="B410" s="1798" t="s">
        <v>2479</v>
      </c>
      <c r="C410" s="1798">
        <v>6189</v>
      </c>
      <c r="D410" s="1799" t="s">
        <v>1435</v>
      </c>
      <c r="E410" s="1800" t="s">
        <v>160</v>
      </c>
      <c r="F410" s="1807">
        <v>1.008</v>
      </c>
      <c r="G410" s="1801">
        <v>26.29</v>
      </c>
      <c r="H410" s="1802">
        <f t="shared" si="45"/>
        <v>26.15</v>
      </c>
      <c r="I410" s="1803">
        <f t="shared" si="46"/>
        <v>26.35</v>
      </c>
      <c r="J410" s="1795"/>
    </row>
    <row r="411" spans="1:10" ht="24">
      <c r="A411" s="1797" t="s">
        <v>2476</v>
      </c>
      <c r="B411" s="1798" t="s">
        <v>2479</v>
      </c>
      <c r="C411" s="1798">
        <v>40304</v>
      </c>
      <c r="D411" s="1799" t="s">
        <v>2618</v>
      </c>
      <c r="E411" s="1800" t="s">
        <v>1184</v>
      </c>
      <c r="F411" s="1807">
        <v>3.4000000000000002E-2</v>
      </c>
      <c r="G411" s="1801">
        <v>31.95</v>
      </c>
      <c r="H411" s="1802">
        <f t="shared" si="45"/>
        <v>31.78</v>
      </c>
      <c r="I411" s="1803">
        <f t="shared" si="46"/>
        <v>1.08</v>
      </c>
      <c r="J411" s="1795"/>
    </row>
    <row r="412" spans="1:10" ht="24">
      <c r="A412" s="1797" t="s">
        <v>2476</v>
      </c>
      <c r="B412" s="1798" t="s">
        <v>7</v>
      </c>
      <c r="C412" s="1798">
        <v>88239</v>
      </c>
      <c r="D412" s="1799" t="s">
        <v>454</v>
      </c>
      <c r="E412" s="1800" t="s">
        <v>411</v>
      </c>
      <c r="F412" s="1807">
        <v>0.47099999999999997</v>
      </c>
      <c r="G412" s="1801">
        <v>20.55</v>
      </c>
      <c r="H412" s="1802">
        <f t="shared" si="45"/>
        <v>20.55</v>
      </c>
      <c r="I412" s="1803">
        <f t="shared" si="46"/>
        <v>9.67</v>
      </c>
      <c r="J412" s="1795"/>
    </row>
    <row r="413" spans="1:10" ht="24">
      <c r="A413" s="1797" t="s">
        <v>2476</v>
      </c>
      <c r="B413" s="1798" t="s">
        <v>7</v>
      </c>
      <c r="C413" s="1798">
        <v>88262</v>
      </c>
      <c r="D413" s="1799" t="s">
        <v>441</v>
      </c>
      <c r="E413" s="1800" t="s">
        <v>411</v>
      </c>
      <c r="F413" s="1807">
        <v>1.145</v>
      </c>
      <c r="G413" s="1801">
        <v>24.32</v>
      </c>
      <c r="H413" s="1802">
        <f t="shared" si="45"/>
        <v>24.32</v>
      </c>
      <c r="I413" s="1803">
        <f t="shared" si="46"/>
        <v>27.84</v>
      </c>
      <c r="J413" s="1795"/>
    </row>
    <row r="414" spans="1:10" ht="36">
      <c r="A414" s="1797" t="s">
        <v>2476</v>
      </c>
      <c r="B414" s="1798" t="s">
        <v>7</v>
      </c>
      <c r="C414" s="1798">
        <v>91692</v>
      </c>
      <c r="D414" s="1799" t="s">
        <v>2493</v>
      </c>
      <c r="E414" s="1800" t="s">
        <v>456</v>
      </c>
      <c r="F414" s="1807">
        <v>1.7000000000000001E-2</v>
      </c>
      <c r="G414" s="1801">
        <v>20.41</v>
      </c>
      <c r="H414" s="1802">
        <f t="shared" si="45"/>
        <v>20.3</v>
      </c>
      <c r="I414" s="1803">
        <f t="shared" si="46"/>
        <v>0.34</v>
      </c>
      <c r="J414" s="1795"/>
    </row>
    <row r="415" spans="1:10" ht="36">
      <c r="A415" s="1797" t="s">
        <v>2476</v>
      </c>
      <c r="B415" s="1798" t="s">
        <v>7</v>
      </c>
      <c r="C415" s="1798">
        <v>91693</v>
      </c>
      <c r="D415" s="1799" t="s">
        <v>2494</v>
      </c>
      <c r="E415" s="1800" t="s">
        <v>577</v>
      </c>
      <c r="F415" s="1807">
        <v>1.4E-2</v>
      </c>
      <c r="G415" s="1801">
        <v>18.84</v>
      </c>
      <c r="H415" s="1802">
        <f t="shared" si="45"/>
        <v>18.739999999999998</v>
      </c>
      <c r="I415" s="1803">
        <f t="shared" si="46"/>
        <v>0.26</v>
      </c>
      <c r="J415" s="1795"/>
    </row>
    <row r="416" spans="1:10">
      <c r="A416" s="1943" t="s">
        <v>2477</v>
      </c>
      <c r="B416" s="1944"/>
      <c r="C416" s="1944"/>
      <c r="D416" s="1944"/>
      <c r="E416" s="1944"/>
      <c r="F416" s="1944"/>
      <c r="G416" s="1944"/>
      <c r="H416" s="1945"/>
      <c r="I416" s="1805">
        <f>SUM(I406:I415)</f>
        <v>75.670000000000016</v>
      </c>
      <c r="J416" s="1795"/>
    </row>
    <row r="417" spans="1:10">
      <c r="A417" s="1929"/>
      <c r="B417" s="1930"/>
      <c r="C417" s="1930"/>
      <c r="D417" s="1930"/>
      <c r="E417" s="1930"/>
      <c r="F417" s="1930"/>
      <c r="G417" s="1930"/>
      <c r="H417" s="1930"/>
      <c r="I417" s="1931"/>
      <c r="J417" s="1795"/>
    </row>
    <row r="418" spans="1:10" ht="22.5" customHeight="1">
      <c r="A418" s="1784">
        <f>'PLANILHA SEM DESON'!B43</f>
        <v>94965</v>
      </c>
      <c r="B418" s="1940" t="str">
        <f>VLOOKUP(A418,'PLANILHA SEM DESON'!$B$17:$D$1700,2,FALSE)</f>
        <v>CONCRETO FCK = 25MPA, TRAÇO 1:2,3:2,7 (CIMENTO/ AREIA MÉDIA/ BRITA 1)- PREPARO MECÂNICO COM BETONEIRA 400 L. AF_07/2016</v>
      </c>
      <c r="C418" s="1941"/>
      <c r="D418" s="1941"/>
      <c r="E418" s="1941"/>
      <c r="F418" s="1941"/>
      <c r="G418" s="1941"/>
      <c r="H418" s="1942"/>
      <c r="I418" s="1785" t="str">
        <f>VLOOKUP(A418,'PLANILHA SEM DESON'!$B$17:$D$1700,3,FALSE)</f>
        <v>m³</v>
      </c>
      <c r="J418" s="1786">
        <f>I427</f>
        <v>563.54999999999995</v>
      </c>
    </row>
    <row r="419" spans="1:10" ht="24">
      <c r="A419" s="1788" t="s">
        <v>2470</v>
      </c>
      <c r="B419" s="1789" t="s">
        <v>2471</v>
      </c>
      <c r="C419" s="1790" t="s">
        <v>2468</v>
      </c>
      <c r="D419" s="1791" t="s">
        <v>308</v>
      </c>
      <c r="E419" s="1790" t="s">
        <v>202</v>
      </c>
      <c r="F419" s="1792" t="s">
        <v>2472</v>
      </c>
      <c r="G419" s="1790" t="s">
        <v>2473</v>
      </c>
      <c r="H419" s="1793" t="s">
        <v>2474</v>
      </c>
      <c r="I419" s="1794" t="s">
        <v>2475</v>
      </c>
      <c r="J419" s="1795"/>
    </row>
    <row r="420" spans="1:10" ht="24">
      <c r="A420" s="1797" t="s">
        <v>2476</v>
      </c>
      <c r="B420" s="1798" t="s">
        <v>2479</v>
      </c>
      <c r="C420" s="1798">
        <v>370</v>
      </c>
      <c r="D420" s="1799" t="s">
        <v>2619</v>
      </c>
      <c r="E420" s="1800" t="s">
        <v>1171</v>
      </c>
      <c r="F420" s="1807">
        <v>0.72289999999999999</v>
      </c>
      <c r="G420" s="1801">
        <v>125</v>
      </c>
      <c r="H420" s="1802">
        <f t="shared" ref="H420:H426" si="48">IF(E420="H",G420,TRUNC(G420*(1-$K$7),2))</f>
        <v>124.36</v>
      </c>
      <c r="I420" s="1803">
        <f t="shared" ref="I420:I426" si="49">TRUNC(H420*F420,2)</f>
        <v>89.89</v>
      </c>
      <c r="J420" s="1795"/>
    </row>
    <row r="421" spans="1:10">
      <c r="A421" s="1797" t="s">
        <v>2476</v>
      </c>
      <c r="B421" s="1798" t="s">
        <v>2479</v>
      </c>
      <c r="C421" s="1798">
        <v>1379</v>
      </c>
      <c r="D421" s="1799" t="s">
        <v>2620</v>
      </c>
      <c r="E421" s="1800" t="s">
        <v>1184</v>
      </c>
      <c r="F421" s="1807">
        <v>362.65789999999998</v>
      </c>
      <c r="G421" s="1801">
        <v>0.94</v>
      </c>
      <c r="H421" s="1802">
        <f t="shared" si="48"/>
        <v>0.93</v>
      </c>
      <c r="I421" s="1803">
        <f t="shared" si="49"/>
        <v>337.27</v>
      </c>
      <c r="J421" s="1795"/>
    </row>
    <row r="422" spans="1:10" ht="24">
      <c r="A422" s="1797" t="s">
        <v>2476</v>
      </c>
      <c r="B422" s="1798" t="s">
        <v>2479</v>
      </c>
      <c r="C422" s="1798">
        <v>4721</v>
      </c>
      <c r="D422" s="1799" t="s">
        <v>2621</v>
      </c>
      <c r="E422" s="1800" t="s">
        <v>1171</v>
      </c>
      <c r="F422" s="1807">
        <v>0.59340000000000004</v>
      </c>
      <c r="G422" s="1801">
        <v>107.61</v>
      </c>
      <c r="H422" s="1802">
        <f t="shared" si="48"/>
        <v>107.06</v>
      </c>
      <c r="I422" s="1803">
        <f t="shared" si="49"/>
        <v>63.52</v>
      </c>
      <c r="J422" s="1795"/>
    </row>
    <row r="423" spans="1:10">
      <c r="A423" s="1797" t="s">
        <v>2476</v>
      </c>
      <c r="B423" s="1798" t="s">
        <v>7</v>
      </c>
      <c r="C423" s="1798">
        <v>88316</v>
      </c>
      <c r="D423" s="1799" t="s">
        <v>66</v>
      </c>
      <c r="E423" s="1800" t="s">
        <v>411</v>
      </c>
      <c r="F423" s="1807">
        <v>2.3117000000000001</v>
      </c>
      <c r="G423" s="1801">
        <v>19.45</v>
      </c>
      <c r="H423" s="1802">
        <f t="shared" si="48"/>
        <v>19.45</v>
      </c>
      <c r="I423" s="1803">
        <f t="shared" si="49"/>
        <v>44.96</v>
      </c>
      <c r="J423" s="1795"/>
    </row>
    <row r="424" spans="1:10" ht="24">
      <c r="A424" s="1797" t="s">
        <v>2476</v>
      </c>
      <c r="B424" s="1798" t="s">
        <v>7</v>
      </c>
      <c r="C424" s="1798">
        <v>88377</v>
      </c>
      <c r="D424" s="1799" t="s">
        <v>2622</v>
      </c>
      <c r="E424" s="1800" t="s">
        <v>411</v>
      </c>
      <c r="F424" s="1807">
        <v>1.4637</v>
      </c>
      <c r="G424" s="1801">
        <v>17.78</v>
      </c>
      <c r="H424" s="1802">
        <f t="shared" si="48"/>
        <v>17.78</v>
      </c>
      <c r="I424" s="1803">
        <f t="shared" si="49"/>
        <v>26.02</v>
      </c>
      <c r="J424" s="1795"/>
    </row>
    <row r="425" spans="1:10" ht="48">
      <c r="A425" s="1797" t="s">
        <v>2476</v>
      </c>
      <c r="B425" s="1798" t="s">
        <v>7</v>
      </c>
      <c r="C425" s="1798">
        <v>88830</v>
      </c>
      <c r="D425" s="1799" t="s">
        <v>2623</v>
      </c>
      <c r="E425" s="1800" t="s">
        <v>456</v>
      </c>
      <c r="F425" s="1807">
        <v>0.75339999999999996</v>
      </c>
      <c r="G425" s="1801">
        <v>2.1800000000000002</v>
      </c>
      <c r="H425" s="1802">
        <f t="shared" si="48"/>
        <v>2.16</v>
      </c>
      <c r="I425" s="1803">
        <f t="shared" si="49"/>
        <v>1.62</v>
      </c>
      <c r="J425" s="1795"/>
    </row>
    <row r="426" spans="1:10" ht="48">
      <c r="A426" s="1797" t="s">
        <v>2476</v>
      </c>
      <c r="B426" s="1798" t="s">
        <v>7</v>
      </c>
      <c r="C426" s="1798">
        <v>88831</v>
      </c>
      <c r="D426" s="1799" t="s">
        <v>2624</v>
      </c>
      <c r="E426" s="1800" t="s">
        <v>577</v>
      </c>
      <c r="F426" s="1807">
        <v>0.71030000000000004</v>
      </c>
      <c r="G426" s="1801">
        <v>0.4</v>
      </c>
      <c r="H426" s="1802">
        <f t="shared" si="48"/>
        <v>0.39</v>
      </c>
      <c r="I426" s="1803">
        <f t="shared" si="49"/>
        <v>0.27</v>
      </c>
      <c r="J426" s="1795"/>
    </row>
    <row r="427" spans="1:10">
      <c r="A427" s="1943" t="s">
        <v>2477</v>
      </c>
      <c r="B427" s="1944"/>
      <c r="C427" s="1944"/>
      <c r="D427" s="1944"/>
      <c r="E427" s="1944"/>
      <c r="F427" s="1944"/>
      <c r="G427" s="1944"/>
      <c r="H427" s="1945"/>
      <c r="I427" s="1805">
        <f>SUM(I420:I426)</f>
        <v>563.54999999999995</v>
      </c>
      <c r="J427" s="1795"/>
    </row>
    <row r="428" spans="1:10">
      <c r="A428" s="1929"/>
      <c r="B428" s="1930"/>
      <c r="C428" s="1930"/>
      <c r="D428" s="1930"/>
      <c r="E428" s="1930"/>
      <c r="F428" s="1930"/>
      <c r="G428" s="1930"/>
      <c r="H428" s="1930"/>
      <c r="I428" s="1931"/>
      <c r="J428" s="1795"/>
    </row>
    <row r="429" spans="1:10" ht="24" customHeight="1">
      <c r="A429" s="1784">
        <f>'PLANILHA SEM DESON'!B44</f>
        <v>103673</v>
      </c>
      <c r="B429" s="1940" t="str">
        <f>VLOOKUP(A429,'PLANILHA SEM DESON'!$B$17:$D$1700,2,FALSE)</f>
        <v>LANÇAMENTO COM USO DE BOMBA, ADENSAMENTO E ACABAMENTO DE CONCRETO EM ESTRUTURAS. AF_12/2015</v>
      </c>
      <c r="C429" s="1941"/>
      <c r="D429" s="1941"/>
      <c r="E429" s="1941"/>
      <c r="F429" s="1941"/>
      <c r="G429" s="1941"/>
      <c r="H429" s="1942"/>
      <c r="I429" s="1785" t="str">
        <f>VLOOKUP(A429,'PLANILHA SEM DESON'!$B$17:$D$1700,3,FALSE)</f>
        <v>m³</v>
      </c>
      <c r="J429" s="1786">
        <f>I436</f>
        <v>37.31</v>
      </c>
    </row>
    <row r="430" spans="1:10" ht="24">
      <c r="A430" s="1788" t="s">
        <v>2470</v>
      </c>
      <c r="B430" s="1789" t="s">
        <v>2471</v>
      </c>
      <c r="C430" s="1790" t="s">
        <v>2468</v>
      </c>
      <c r="D430" s="1791" t="s">
        <v>308</v>
      </c>
      <c r="E430" s="1790" t="s">
        <v>202</v>
      </c>
      <c r="F430" s="1792" t="s">
        <v>2472</v>
      </c>
      <c r="G430" s="1790" t="s">
        <v>2473</v>
      </c>
      <c r="H430" s="1793" t="s">
        <v>2474</v>
      </c>
      <c r="I430" s="1794" t="s">
        <v>2475</v>
      </c>
      <c r="J430" s="1795"/>
    </row>
    <row r="431" spans="1:10" ht="24">
      <c r="A431" s="1797" t="s">
        <v>2476</v>
      </c>
      <c r="B431" s="1798" t="s">
        <v>7</v>
      </c>
      <c r="C431" s="1798">
        <v>88262</v>
      </c>
      <c r="D431" s="1799" t="s">
        <v>441</v>
      </c>
      <c r="E431" s="1800" t="s">
        <v>411</v>
      </c>
      <c r="F431" s="1807">
        <v>0.224</v>
      </c>
      <c r="G431" s="1801">
        <v>24.32</v>
      </c>
      <c r="H431" s="1802">
        <f>IF(E431="H",G431,TRUNC(G431*(1-$K$7),2))</f>
        <v>24.32</v>
      </c>
      <c r="I431" s="1803">
        <f t="shared" ref="I431:I435" si="50">TRUNC(H431*F431,2)</f>
        <v>5.44</v>
      </c>
      <c r="J431" s="1795"/>
    </row>
    <row r="432" spans="1:10">
      <c r="A432" s="1797" t="s">
        <v>2476</v>
      </c>
      <c r="B432" s="1798" t="s">
        <v>7</v>
      </c>
      <c r="C432" s="1798">
        <v>88309</v>
      </c>
      <c r="D432" s="1799" t="s">
        <v>103</v>
      </c>
      <c r="E432" s="1800" t="s">
        <v>411</v>
      </c>
      <c r="F432" s="1807">
        <v>0.224</v>
      </c>
      <c r="G432" s="1801">
        <v>24.59</v>
      </c>
      <c r="H432" s="1802">
        <f>IF(E432="H",G432,TRUNC(G432*(1-$K$7),2))</f>
        <v>24.59</v>
      </c>
      <c r="I432" s="1803">
        <f t="shared" si="50"/>
        <v>5.5</v>
      </c>
      <c r="J432" s="1795"/>
    </row>
    <row r="433" spans="1:10">
      <c r="A433" s="1797" t="s">
        <v>2476</v>
      </c>
      <c r="B433" s="1798" t="s">
        <v>7</v>
      </c>
      <c r="C433" s="1798">
        <v>88316</v>
      </c>
      <c r="D433" s="1799" t="s">
        <v>66</v>
      </c>
      <c r="E433" s="1800" t="s">
        <v>411</v>
      </c>
      <c r="F433" s="1807">
        <v>1.345</v>
      </c>
      <c r="G433" s="1801">
        <v>19.45</v>
      </c>
      <c r="H433" s="1802">
        <f>IF(E433="H",G433,TRUNC(G433*(1-$K$7),2))</f>
        <v>19.45</v>
      </c>
      <c r="I433" s="1803">
        <f t="shared" si="50"/>
        <v>26.16</v>
      </c>
      <c r="J433" s="1795"/>
    </row>
    <row r="434" spans="1:10" ht="36">
      <c r="A434" s="1797" t="s">
        <v>2476</v>
      </c>
      <c r="B434" s="1798" t="s">
        <v>7</v>
      </c>
      <c r="C434" s="1798">
        <v>90586</v>
      </c>
      <c r="D434" s="1799" t="s">
        <v>2625</v>
      </c>
      <c r="E434" s="1800" t="s">
        <v>456</v>
      </c>
      <c r="F434" s="1807">
        <v>9.4E-2</v>
      </c>
      <c r="G434" s="1801">
        <v>1.52</v>
      </c>
      <c r="H434" s="1802">
        <f>IF(E434="H",G434,TRUNC(G434*(1-$K$7),2))</f>
        <v>1.51</v>
      </c>
      <c r="I434" s="1803">
        <f t="shared" si="50"/>
        <v>0.14000000000000001</v>
      </c>
      <c r="J434" s="1795"/>
    </row>
    <row r="435" spans="1:10" ht="36">
      <c r="A435" s="1797" t="s">
        <v>2476</v>
      </c>
      <c r="B435" s="1798" t="s">
        <v>7</v>
      </c>
      <c r="C435" s="1798">
        <v>90587</v>
      </c>
      <c r="D435" s="1799" t="s">
        <v>2626</v>
      </c>
      <c r="E435" s="1800" t="s">
        <v>577</v>
      </c>
      <c r="F435" s="1807">
        <v>0.13</v>
      </c>
      <c r="G435" s="1801">
        <v>0.56000000000000005</v>
      </c>
      <c r="H435" s="1802">
        <f>IF(E435="H",G435,TRUNC(G435*(1-$K$7),2))</f>
        <v>0.55000000000000004</v>
      </c>
      <c r="I435" s="1803">
        <f t="shared" si="50"/>
        <v>7.0000000000000007E-2</v>
      </c>
      <c r="J435" s="1795"/>
    </row>
    <row r="436" spans="1:10">
      <c r="A436" s="1943" t="s">
        <v>2477</v>
      </c>
      <c r="B436" s="1944"/>
      <c r="C436" s="1944"/>
      <c r="D436" s="1944"/>
      <c r="E436" s="1944"/>
      <c r="F436" s="1944"/>
      <c r="G436" s="1944"/>
      <c r="H436" s="1945"/>
      <c r="I436" s="1805">
        <f>SUM(I431:I435)</f>
        <v>37.31</v>
      </c>
      <c r="J436" s="1795"/>
    </row>
    <row r="437" spans="1:10">
      <c r="A437" s="1929"/>
      <c r="B437" s="1930"/>
      <c r="C437" s="1930"/>
      <c r="D437" s="1930"/>
      <c r="E437" s="1930"/>
      <c r="F437" s="1930"/>
      <c r="G437" s="1930"/>
      <c r="H437" s="1930"/>
      <c r="I437" s="1931"/>
      <c r="J437" s="1795"/>
    </row>
    <row r="438" spans="1:10" ht="30" customHeight="1">
      <c r="A438" s="1784">
        <f>'PLANILHA SEM DESON'!B45</f>
        <v>96543</v>
      </c>
      <c r="B438" s="1940" t="str">
        <f>VLOOKUP(A438,'PLANILHA SEM DESON'!$B$17:$D$1700,2,FALSE)</f>
        <v>ARMAÇÃO DE BLOCO, VIGA BALDRAME E SAPATA UTILIZANDO AÇO CA-60 DE 5 MM- MONTAGEM. AF_06/2017</v>
      </c>
      <c r="C438" s="1941"/>
      <c r="D438" s="1941"/>
      <c r="E438" s="1941"/>
      <c r="F438" s="1941"/>
      <c r="G438" s="1941"/>
      <c r="H438" s="1942"/>
      <c r="I438" s="1785" t="str">
        <f>VLOOKUP(A438,'PLANILHA SEM DESON'!$B$17:$D$1700,3,FALSE)</f>
        <v>Kg</v>
      </c>
      <c r="J438" s="1786">
        <f>I445</f>
        <v>19.3</v>
      </c>
    </row>
    <row r="439" spans="1:10" ht="24">
      <c r="A439" s="1788" t="s">
        <v>2470</v>
      </c>
      <c r="B439" s="1789" t="s">
        <v>2471</v>
      </c>
      <c r="C439" s="1790" t="s">
        <v>2468</v>
      </c>
      <c r="D439" s="1791" t="s">
        <v>308</v>
      </c>
      <c r="E439" s="1790" t="s">
        <v>202</v>
      </c>
      <c r="F439" s="1792" t="s">
        <v>2472</v>
      </c>
      <c r="G439" s="1790" t="s">
        <v>2473</v>
      </c>
      <c r="H439" s="1793" t="s">
        <v>2474</v>
      </c>
      <c r="I439" s="1794" t="s">
        <v>2475</v>
      </c>
      <c r="J439" s="1795"/>
    </row>
    <row r="440" spans="1:10" ht="36">
      <c r="A440" s="1797" t="s">
        <v>2476</v>
      </c>
      <c r="B440" s="1798" t="s">
        <v>2479</v>
      </c>
      <c r="C440" s="1798">
        <v>39017</v>
      </c>
      <c r="D440" s="1799" t="s">
        <v>2627</v>
      </c>
      <c r="E440" s="1800" t="s">
        <v>2501</v>
      </c>
      <c r="F440" s="1807">
        <v>1.9664999999999999</v>
      </c>
      <c r="G440" s="1801">
        <v>0.22</v>
      </c>
      <c r="H440" s="1802">
        <f>IF(E440="H",G440,TRUNC(G440*(1-$K$7),2))</f>
        <v>0.21</v>
      </c>
      <c r="I440" s="1803">
        <f t="shared" ref="I440:I444" si="51">TRUNC(H440*F440,2)</f>
        <v>0.41</v>
      </c>
      <c r="J440" s="1795"/>
    </row>
    <row r="441" spans="1:10" ht="24">
      <c r="A441" s="1797" t="s">
        <v>2476</v>
      </c>
      <c r="B441" s="1798" t="s">
        <v>2479</v>
      </c>
      <c r="C441" s="1798">
        <v>43132</v>
      </c>
      <c r="D441" s="1799" t="s">
        <v>2628</v>
      </c>
      <c r="E441" s="1800" t="s">
        <v>1383</v>
      </c>
      <c r="F441" s="1807">
        <v>2.5000000000000001E-2</v>
      </c>
      <c r="G441" s="1801">
        <v>24.9</v>
      </c>
      <c r="H441" s="1802">
        <f>IF(E441="H",G441,TRUNC(G441*(1-$K$7),2))</f>
        <v>24.77</v>
      </c>
      <c r="I441" s="1803">
        <f t="shared" si="51"/>
        <v>0.61</v>
      </c>
      <c r="J441" s="1795"/>
    </row>
    <row r="442" spans="1:10" ht="24">
      <c r="A442" s="1797" t="s">
        <v>2476</v>
      </c>
      <c r="B442" s="1798" t="s">
        <v>7</v>
      </c>
      <c r="C442" s="1798">
        <v>88238</v>
      </c>
      <c r="D442" s="1799" t="s">
        <v>1212</v>
      </c>
      <c r="E442" s="1800" t="s">
        <v>411</v>
      </c>
      <c r="F442" s="1807">
        <v>6.3500000000000001E-2</v>
      </c>
      <c r="G442" s="1801">
        <v>19.41</v>
      </c>
      <c r="H442" s="1802">
        <f>IF(E442="H",G442,TRUNC(G442*(1-$K$7),2))</f>
        <v>19.41</v>
      </c>
      <c r="I442" s="1803">
        <f t="shared" si="51"/>
        <v>1.23</v>
      </c>
      <c r="J442" s="1795"/>
    </row>
    <row r="443" spans="1:10">
      <c r="A443" s="1797" t="s">
        <v>2476</v>
      </c>
      <c r="B443" s="1798" t="s">
        <v>7</v>
      </c>
      <c r="C443" s="1798">
        <v>88245</v>
      </c>
      <c r="D443" s="1799" t="s">
        <v>1213</v>
      </c>
      <c r="E443" s="1800" t="s">
        <v>411</v>
      </c>
      <c r="F443" s="1807">
        <v>0.19450000000000001</v>
      </c>
      <c r="G443" s="1801">
        <v>24.44</v>
      </c>
      <c r="H443" s="1802">
        <f>IF(E443="H",G443,TRUNC(G443*(1-$K$7),2))</f>
        <v>24.44</v>
      </c>
      <c r="I443" s="1803">
        <f t="shared" si="51"/>
        <v>4.75</v>
      </c>
      <c r="J443" s="1795"/>
    </row>
    <row r="444" spans="1:10" ht="24">
      <c r="A444" s="1797" t="s">
        <v>2476</v>
      </c>
      <c r="B444" s="1798" t="s">
        <v>7</v>
      </c>
      <c r="C444" s="1798">
        <v>92800</v>
      </c>
      <c r="D444" s="1799" t="s">
        <v>2433</v>
      </c>
      <c r="E444" s="1800" t="s">
        <v>1184</v>
      </c>
      <c r="F444" s="1807">
        <v>1</v>
      </c>
      <c r="G444" s="1801">
        <v>12.37</v>
      </c>
      <c r="H444" s="1802">
        <f>IF(E444="H",G444,TRUNC(G444*(1-$K$7),2))</f>
        <v>12.3</v>
      </c>
      <c r="I444" s="1803">
        <f t="shared" si="51"/>
        <v>12.3</v>
      </c>
      <c r="J444" s="1795"/>
    </row>
    <row r="445" spans="1:10">
      <c r="A445" s="1943" t="s">
        <v>2477</v>
      </c>
      <c r="B445" s="1944"/>
      <c r="C445" s="1944"/>
      <c r="D445" s="1944"/>
      <c r="E445" s="1944"/>
      <c r="F445" s="1944"/>
      <c r="G445" s="1944"/>
      <c r="H445" s="1945"/>
      <c r="I445" s="1805">
        <f>SUM(I440:I444)</f>
        <v>19.3</v>
      </c>
      <c r="J445" s="1795"/>
    </row>
    <row r="446" spans="1:10">
      <c r="A446" s="1929"/>
      <c r="B446" s="1930"/>
      <c r="C446" s="1930"/>
      <c r="D446" s="1930"/>
      <c r="E446" s="1930"/>
      <c r="F446" s="1930"/>
      <c r="G446" s="1930"/>
      <c r="H446" s="1930"/>
      <c r="I446" s="1931"/>
      <c r="J446" s="1795"/>
    </row>
    <row r="447" spans="1:10" ht="33" customHeight="1">
      <c r="A447" s="1784">
        <f>'PLANILHA SEM DESON'!B46</f>
        <v>92761</v>
      </c>
      <c r="B447" s="1940" t="str">
        <f>VLOOKUP(A447,'PLANILHA SEM DESON'!$B$17:$D$1700,2,FALSE)</f>
        <v>ARMAÇÃO DE PILAR OU VIGA DE UMA ESTRUTURA CONVENCIONAL DE CONCRETO ARMADO EM UMA EDIFICAÇÃO TÉRREA OU SOBRADO UTILIZANDO AÇO CA-50 DE 8,0 MM - MONTAGEM. AF_12/2015</v>
      </c>
      <c r="C447" s="1941"/>
      <c r="D447" s="1941"/>
      <c r="E447" s="1941"/>
      <c r="F447" s="1941"/>
      <c r="G447" s="1941"/>
      <c r="H447" s="1942"/>
      <c r="I447" s="1785" t="str">
        <f>VLOOKUP(A447,'PLANILHA SEM DESON'!$B$17:$D$1700,3,FALSE)</f>
        <v>Kg</v>
      </c>
      <c r="J447" s="1786">
        <f>I454</f>
        <v>15.21</v>
      </c>
    </row>
    <row r="448" spans="1:10" ht="24">
      <c r="A448" s="1788" t="s">
        <v>2470</v>
      </c>
      <c r="B448" s="1789" t="s">
        <v>2471</v>
      </c>
      <c r="C448" s="1790" t="s">
        <v>2468</v>
      </c>
      <c r="D448" s="1791" t="s">
        <v>308</v>
      </c>
      <c r="E448" s="1790" t="s">
        <v>202</v>
      </c>
      <c r="F448" s="1792" t="s">
        <v>2472</v>
      </c>
      <c r="G448" s="1790" t="s">
        <v>2473</v>
      </c>
      <c r="H448" s="1793" t="s">
        <v>2474</v>
      </c>
      <c r="I448" s="1794" t="s">
        <v>2475</v>
      </c>
      <c r="J448" s="1795"/>
    </row>
    <row r="449" spans="1:10" ht="36">
      <c r="A449" s="1797" t="s">
        <v>2476</v>
      </c>
      <c r="B449" s="1798" t="s">
        <v>2479</v>
      </c>
      <c r="C449" s="1798">
        <v>39017</v>
      </c>
      <c r="D449" s="1799" t="s">
        <v>2627</v>
      </c>
      <c r="E449" s="1800" t="s">
        <v>2501</v>
      </c>
      <c r="F449" s="1807">
        <v>0.74299999999999999</v>
      </c>
      <c r="G449" s="1801">
        <v>0.22</v>
      </c>
      <c r="H449" s="1802">
        <f>IF(E449="H",G449,TRUNC(G449*(1-$K$7),2))</f>
        <v>0.21</v>
      </c>
      <c r="I449" s="1803">
        <f t="shared" ref="I449:I453" si="52">TRUNC(H449*F449,2)</f>
        <v>0.15</v>
      </c>
      <c r="J449" s="1795"/>
    </row>
    <row r="450" spans="1:10" ht="24">
      <c r="A450" s="1797" t="s">
        <v>2476</v>
      </c>
      <c r="B450" s="1798" t="s">
        <v>2479</v>
      </c>
      <c r="C450" s="1798">
        <v>43132</v>
      </c>
      <c r="D450" s="1799" t="s">
        <v>2628</v>
      </c>
      <c r="E450" s="1800" t="s">
        <v>1383</v>
      </c>
      <c r="F450" s="1807">
        <v>2.5000000000000001E-2</v>
      </c>
      <c r="G450" s="1801">
        <v>24.9</v>
      </c>
      <c r="H450" s="1802">
        <f>IF(E450="H",G450,TRUNC(G450*(1-$K$7),2))</f>
        <v>24.77</v>
      </c>
      <c r="I450" s="1803">
        <f t="shared" si="52"/>
        <v>0.61</v>
      </c>
      <c r="J450" s="1795"/>
    </row>
    <row r="451" spans="1:10" ht="24">
      <c r="A451" s="1797" t="s">
        <v>2476</v>
      </c>
      <c r="B451" s="1798" t="s">
        <v>7</v>
      </c>
      <c r="C451" s="1798">
        <v>88238</v>
      </c>
      <c r="D451" s="1799" t="s">
        <v>1212</v>
      </c>
      <c r="E451" s="1800" t="s">
        <v>411</v>
      </c>
      <c r="F451" s="1807">
        <v>9.1999999999999998E-3</v>
      </c>
      <c r="G451" s="1801">
        <v>19.41</v>
      </c>
      <c r="H451" s="1802">
        <f>IF(E451="H",G451,TRUNC(G451*(1-$K$7),2))</f>
        <v>19.41</v>
      </c>
      <c r="I451" s="1803">
        <f t="shared" si="52"/>
        <v>0.17</v>
      </c>
      <c r="J451" s="1795"/>
    </row>
    <row r="452" spans="1:10">
      <c r="A452" s="1797" t="s">
        <v>2476</v>
      </c>
      <c r="B452" s="1798" t="s">
        <v>7</v>
      </c>
      <c r="C452" s="1798">
        <v>88245</v>
      </c>
      <c r="D452" s="1799" t="s">
        <v>1213</v>
      </c>
      <c r="E452" s="1800" t="s">
        <v>411</v>
      </c>
      <c r="F452" s="1807">
        <v>5.6099999999999997E-2</v>
      </c>
      <c r="G452" s="1801">
        <v>24.44</v>
      </c>
      <c r="H452" s="1802">
        <f>IF(E452="H",G452,TRUNC(G452*(1-$K$7),2))</f>
        <v>24.44</v>
      </c>
      <c r="I452" s="1803">
        <f t="shared" si="52"/>
        <v>1.37</v>
      </c>
      <c r="J452" s="1795"/>
    </row>
    <row r="453" spans="1:10" ht="24">
      <c r="A453" s="1797" t="s">
        <v>2476</v>
      </c>
      <c r="B453" s="1798" t="s">
        <v>7</v>
      </c>
      <c r="C453" s="1798">
        <v>92802</v>
      </c>
      <c r="D453" s="1799" t="s">
        <v>2629</v>
      </c>
      <c r="E453" s="1800" t="s">
        <v>1184</v>
      </c>
      <c r="F453" s="1807">
        <v>1</v>
      </c>
      <c r="G453" s="1801">
        <v>12.98</v>
      </c>
      <c r="H453" s="1802">
        <f>IF(E453="H",G453,TRUNC(G453*(1-$K$7),2))</f>
        <v>12.91</v>
      </c>
      <c r="I453" s="1803">
        <f t="shared" si="52"/>
        <v>12.91</v>
      </c>
      <c r="J453" s="1795"/>
    </row>
    <row r="454" spans="1:10">
      <c r="A454" s="1943" t="s">
        <v>2477</v>
      </c>
      <c r="B454" s="1944"/>
      <c r="C454" s="1944"/>
      <c r="D454" s="1944"/>
      <c r="E454" s="1944"/>
      <c r="F454" s="1944"/>
      <c r="G454" s="1944"/>
      <c r="H454" s="1945"/>
      <c r="I454" s="1805">
        <f>SUM(I449:I453)</f>
        <v>15.21</v>
      </c>
      <c r="J454" s="1795"/>
    </row>
    <row r="455" spans="1:10">
      <c r="A455" s="1929"/>
      <c r="B455" s="1930"/>
      <c r="C455" s="1930"/>
      <c r="D455" s="1930"/>
      <c r="E455" s="1930"/>
      <c r="F455" s="1930"/>
      <c r="G455" s="1930"/>
      <c r="H455" s="1930"/>
      <c r="I455" s="1931"/>
      <c r="J455" s="1795"/>
    </row>
    <row r="456" spans="1:10" ht="25.5" customHeight="1">
      <c r="A456" s="1784">
        <f>'PLANILHA SEM DESON'!B47</f>
        <v>92762</v>
      </c>
      <c r="B456" s="1940" t="str">
        <f>VLOOKUP(A456,'PLANILHA SEM DESON'!$B$17:$D$1700,2,FALSE)</f>
        <v>ARMAÇÃO DE PILAR OU VIGA DE UMA ESTRUTURA CONVENCIONAL DE CONCRETO ARMADO EM UMA EDIFICAÇÃO TÉRREA OU SOBRADO UTILIZANDO AÇO CA-50 DE 10,0 MM - MONTAGEM. AF_12/2015</v>
      </c>
      <c r="C456" s="1941"/>
      <c r="D456" s="1941"/>
      <c r="E456" s="1941"/>
      <c r="F456" s="1941"/>
      <c r="G456" s="1941"/>
      <c r="H456" s="1942"/>
      <c r="I456" s="1785" t="str">
        <f>VLOOKUP(A456,'PLANILHA SEM DESON'!$B$17:$D$1700,3,FALSE)</f>
        <v>Kg</v>
      </c>
      <c r="J456" s="1786">
        <f>I463</f>
        <v>13.780000000000001</v>
      </c>
    </row>
    <row r="457" spans="1:10" ht="24">
      <c r="A457" s="1788" t="s">
        <v>2470</v>
      </c>
      <c r="B457" s="1789" t="s">
        <v>2471</v>
      </c>
      <c r="C457" s="1790" t="s">
        <v>2468</v>
      </c>
      <c r="D457" s="1791" t="s">
        <v>308</v>
      </c>
      <c r="E457" s="1790" t="s">
        <v>202</v>
      </c>
      <c r="F457" s="1792" t="s">
        <v>2472</v>
      </c>
      <c r="G457" s="1790" t="s">
        <v>2473</v>
      </c>
      <c r="H457" s="1793" t="s">
        <v>2474</v>
      </c>
      <c r="I457" s="1794" t="s">
        <v>2475</v>
      </c>
      <c r="J457" s="1795"/>
    </row>
    <row r="458" spans="1:10" ht="36">
      <c r="A458" s="1797" t="s">
        <v>2476</v>
      </c>
      <c r="B458" s="1798" t="s">
        <v>2479</v>
      </c>
      <c r="C458" s="1798">
        <v>39017</v>
      </c>
      <c r="D458" s="1799" t="s">
        <v>2627</v>
      </c>
      <c r="E458" s="1800" t="s">
        <v>2501</v>
      </c>
      <c r="F458" s="1807">
        <v>0.54300000000000004</v>
      </c>
      <c r="G458" s="1801">
        <v>0.22</v>
      </c>
      <c r="H458" s="1802">
        <f>IF(E458="H",G458,TRUNC(G458*(1-$K$7),2))</f>
        <v>0.21</v>
      </c>
      <c r="I458" s="1803">
        <f t="shared" ref="I458:I462" si="53">TRUNC(H458*F458,2)</f>
        <v>0.11</v>
      </c>
      <c r="J458" s="1795"/>
    </row>
    <row r="459" spans="1:10" ht="24">
      <c r="A459" s="1797" t="s">
        <v>2476</v>
      </c>
      <c r="B459" s="1798" t="s">
        <v>2479</v>
      </c>
      <c r="C459" s="1798">
        <v>43132</v>
      </c>
      <c r="D459" s="1799" t="s">
        <v>2628</v>
      </c>
      <c r="E459" s="1800" t="s">
        <v>1383</v>
      </c>
      <c r="F459" s="1807">
        <v>2.5000000000000001E-2</v>
      </c>
      <c r="G459" s="1801">
        <v>24.9</v>
      </c>
      <c r="H459" s="1802">
        <f>IF(E459="H",G459,TRUNC(G459*(1-$K$7),2))</f>
        <v>24.77</v>
      </c>
      <c r="I459" s="1803">
        <f t="shared" si="53"/>
        <v>0.61</v>
      </c>
      <c r="J459" s="1795"/>
    </row>
    <row r="460" spans="1:10" ht="24">
      <c r="A460" s="1797" t="s">
        <v>2476</v>
      </c>
      <c r="B460" s="1798" t="s">
        <v>7</v>
      </c>
      <c r="C460" s="1798">
        <v>88238</v>
      </c>
      <c r="D460" s="1799" t="s">
        <v>1212</v>
      </c>
      <c r="E460" s="1800" t="s">
        <v>411</v>
      </c>
      <c r="F460" s="1807">
        <v>6.4000000000000003E-3</v>
      </c>
      <c r="G460" s="1801">
        <v>19.41</v>
      </c>
      <c r="H460" s="1802">
        <f>IF(E460="H",G460,TRUNC(G460*(1-$K$7),2))</f>
        <v>19.41</v>
      </c>
      <c r="I460" s="1803">
        <f t="shared" si="53"/>
        <v>0.12</v>
      </c>
      <c r="J460" s="1795"/>
    </row>
    <row r="461" spans="1:10">
      <c r="A461" s="1797" t="s">
        <v>2476</v>
      </c>
      <c r="B461" s="1798" t="s">
        <v>7</v>
      </c>
      <c r="C461" s="1798">
        <v>88245</v>
      </c>
      <c r="D461" s="1799" t="s">
        <v>1213</v>
      </c>
      <c r="E461" s="1800" t="s">
        <v>411</v>
      </c>
      <c r="F461" s="1807">
        <v>3.9199999999999999E-2</v>
      </c>
      <c r="G461" s="1801">
        <v>24.44</v>
      </c>
      <c r="H461" s="1802">
        <f>IF(E461="H",G461,TRUNC(G461*(1-$K$7),2))</f>
        <v>24.44</v>
      </c>
      <c r="I461" s="1803">
        <f t="shared" si="53"/>
        <v>0.95</v>
      </c>
      <c r="J461" s="1795"/>
    </row>
    <row r="462" spans="1:10" ht="24">
      <c r="A462" s="1797" t="s">
        <v>2476</v>
      </c>
      <c r="B462" s="1798" t="s">
        <v>7</v>
      </c>
      <c r="C462" s="1798">
        <v>92803</v>
      </c>
      <c r="D462" s="1799" t="s">
        <v>2232</v>
      </c>
      <c r="E462" s="1800" t="s">
        <v>1184</v>
      </c>
      <c r="F462" s="1807">
        <v>1</v>
      </c>
      <c r="G462" s="1801">
        <v>12.06</v>
      </c>
      <c r="H462" s="1802">
        <f>IF(E462="H",G462,TRUNC(G462*(1-$K$7),2))</f>
        <v>11.99</v>
      </c>
      <c r="I462" s="1803">
        <f t="shared" si="53"/>
        <v>11.99</v>
      </c>
      <c r="J462" s="1795"/>
    </row>
    <row r="463" spans="1:10">
      <c r="A463" s="1943" t="s">
        <v>2477</v>
      </c>
      <c r="B463" s="1944"/>
      <c r="C463" s="1944"/>
      <c r="D463" s="1944"/>
      <c r="E463" s="1944"/>
      <c r="F463" s="1944"/>
      <c r="G463" s="1944"/>
      <c r="H463" s="1945"/>
      <c r="I463" s="1805">
        <f>SUM(I458:I462)</f>
        <v>13.780000000000001</v>
      </c>
      <c r="J463" s="1795"/>
    </row>
    <row r="464" spans="1:10">
      <c r="A464" s="1929"/>
      <c r="B464" s="1930"/>
      <c r="C464" s="1930"/>
      <c r="D464" s="1930"/>
      <c r="E464" s="1930"/>
      <c r="F464" s="1930"/>
      <c r="G464" s="1930"/>
      <c r="H464" s="1930"/>
      <c r="I464" s="1931"/>
      <c r="J464" s="1795"/>
    </row>
    <row r="465" spans="1:10" ht="24" customHeight="1">
      <c r="A465" s="1784">
        <f>'PLANILHA SEM DESON'!B48</f>
        <v>92763</v>
      </c>
      <c r="B465" s="1940" t="str">
        <f>VLOOKUP(A465,'PLANILHA SEM DESON'!$B$17:$D$1700,2,FALSE)</f>
        <v>ARMAÇÃO DE PILAR OU VIGA DE UMA ESTRUTURA CONVENCIONAL DE CONCRETO ARMADO EM UMA EDIFICAÇÃO TÉRREA OU SOBRADO UTILIZANDO AÇO CA-50 DE 12,5 M M - MONTAGEM. AF_12/2015</v>
      </c>
      <c r="C465" s="1941"/>
      <c r="D465" s="1941"/>
      <c r="E465" s="1941"/>
      <c r="F465" s="1941"/>
      <c r="G465" s="1941"/>
      <c r="H465" s="1942"/>
      <c r="I465" s="1785" t="str">
        <f>VLOOKUP(A465,'PLANILHA SEM DESON'!$B$17:$D$1700,3,FALSE)</f>
        <v>Kg</v>
      </c>
      <c r="J465" s="1786">
        <f>I472</f>
        <v>11.68</v>
      </c>
    </row>
    <row r="466" spans="1:10" ht="24">
      <c r="A466" s="1788" t="s">
        <v>2470</v>
      </c>
      <c r="B466" s="1789" t="s">
        <v>2471</v>
      </c>
      <c r="C466" s="1790" t="s">
        <v>2468</v>
      </c>
      <c r="D466" s="1791" t="s">
        <v>308</v>
      </c>
      <c r="E466" s="1790" t="s">
        <v>202</v>
      </c>
      <c r="F466" s="1792" t="s">
        <v>2472</v>
      </c>
      <c r="G466" s="1790" t="s">
        <v>2473</v>
      </c>
      <c r="H466" s="1793" t="s">
        <v>2474</v>
      </c>
      <c r="I466" s="1794" t="s">
        <v>2475</v>
      </c>
      <c r="J466" s="1795"/>
    </row>
    <row r="467" spans="1:10" ht="36">
      <c r="A467" s="1797" t="s">
        <v>2476</v>
      </c>
      <c r="B467" s="1798" t="s">
        <v>2479</v>
      </c>
      <c r="C467" s="1798">
        <v>39017</v>
      </c>
      <c r="D467" s="1799" t="s">
        <v>2627</v>
      </c>
      <c r="E467" s="1800" t="s">
        <v>2501</v>
      </c>
      <c r="F467" s="1807">
        <v>0.36699999999999999</v>
      </c>
      <c r="G467" s="1801">
        <v>0.22</v>
      </c>
      <c r="H467" s="1802">
        <f>IF(E467="H",G467,TRUNC(G467*(1-$K$7),2))</f>
        <v>0.21</v>
      </c>
      <c r="I467" s="1803">
        <f t="shared" ref="I467:I471" si="54">TRUNC(H467*F467,2)</f>
        <v>7.0000000000000007E-2</v>
      </c>
      <c r="J467" s="1795"/>
    </row>
    <row r="468" spans="1:10" ht="24">
      <c r="A468" s="1797" t="s">
        <v>2476</v>
      </c>
      <c r="B468" s="1798" t="s">
        <v>2479</v>
      </c>
      <c r="C468" s="1798">
        <v>43132</v>
      </c>
      <c r="D468" s="1799" t="s">
        <v>2628</v>
      </c>
      <c r="E468" s="1800" t="s">
        <v>1383</v>
      </c>
      <c r="F468" s="1807">
        <v>2.5000000000000001E-2</v>
      </c>
      <c r="G468" s="1801">
        <v>24.9</v>
      </c>
      <c r="H468" s="1802">
        <f>IF(E468="H",G468,TRUNC(G468*(1-$K$7),2))</f>
        <v>24.77</v>
      </c>
      <c r="I468" s="1803">
        <f t="shared" si="54"/>
        <v>0.61</v>
      </c>
      <c r="J468" s="1795"/>
    </row>
    <row r="469" spans="1:10" ht="24">
      <c r="A469" s="1797" t="s">
        <v>2476</v>
      </c>
      <c r="B469" s="1798" t="s">
        <v>7</v>
      </c>
      <c r="C469" s="1798">
        <v>88238</v>
      </c>
      <c r="D469" s="1799" t="s">
        <v>1212</v>
      </c>
      <c r="E469" s="1800" t="s">
        <v>411</v>
      </c>
      <c r="F469" s="1807">
        <v>4.1999999999999997E-3</v>
      </c>
      <c r="G469" s="1801">
        <v>19.41</v>
      </c>
      <c r="H469" s="1802">
        <f>IF(E469="H",G469,TRUNC(G469*(1-$K$7),2))</f>
        <v>19.41</v>
      </c>
      <c r="I469" s="1803">
        <f t="shared" si="54"/>
        <v>0.08</v>
      </c>
      <c r="J469" s="1795"/>
    </row>
    <row r="470" spans="1:10">
      <c r="A470" s="1797" t="s">
        <v>2476</v>
      </c>
      <c r="B470" s="1798" t="s">
        <v>7</v>
      </c>
      <c r="C470" s="1798">
        <v>88245</v>
      </c>
      <c r="D470" s="1799" t="s">
        <v>1213</v>
      </c>
      <c r="E470" s="1800" t="s">
        <v>411</v>
      </c>
      <c r="F470" s="1807">
        <v>2.5700000000000001E-2</v>
      </c>
      <c r="G470" s="1801">
        <v>24.44</v>
      </c>
      <c r="H470" s="1802">
        <f>IF(E470="H",G470,TRUNC(G470*(1-$K$7),2))</f>
        <v>24.44</v>
      </c>
      <c r="I470" s="1803">
        <f t="shared" si="54"/>
        <v>0.62</v>
      </c>
      <c r="J470" s="1795"/>
    </row>
    <row r="471" spans="1:10" ht="24">
      <c r="A471" s="1797" t="s">
        <v>2476</v>
      </c>
      <c r="B471" s="1798" t="s">
        <v>7</v>
      </c>
      <c r="C471" s="1798">
        <v>92804</v>
      </c>
      <c r="D471" s="1799" t="s">
        <v>2630</v>
      </c>
      <c r="E471" s="1800" t="s">
        <v>1184</v>
      </c>
      <c r="F471" s="1807">
        <v>1</v>
      </c>
      <c r="G471" s="1801">
        <v>10.36</v>
      </c>
      <c r="H471" s="1802">
        <f>IF(E471="H",G471,TRUNC(G471*(1-$K$7),2))</f>
        <v>10.3</v>
      </c>
      <c r="I471" s="1803">
        <f t="shared" si="54"/>
        <v>10.3</v>
      </c>
      <c r="J471" s="1795"/>
    </row>
    <row r="472" spans="1:10">
      <c r="A472" s="1943" t="s">
        <v>2477</v>
      </c>
      <c r="B472" s="1944"/>
      <c r="C472" s="1944"/>
      <c r="D472" s="1944"/>
      <c r="E472" s="1944"/>
      <c r="F472" s="1944"/>
      <c r="G472" s="1944"/>
      <c r="H472" s="1945"/>
      <c r="I472" s="1805">
        <f>SUM(I467:I471)</f>
        <v>11.68</v>
      </c>
      <c r="J472" s="1795"/>
    </row>
    <row r="473" spans="1:10">
      <c r="A473" s="1929"/>
      <c r="B473" s="1930"/>
      <c r="C473" s="1930"/>
      <c r="D473" s="1930"/>
      <c r="E473" s="1930"/>
      <c r="F473" s="1930"/>
      <c r="G473" s="1930"/>
      <c r="H473" s="1930"/>
      <c r="I473" s="1931"/>
      <c r="J473" s="1795"/>
    </row>
    <row r="474" spans="1:10" ht="23.25" customHeight="1">
      <c r="A474" s="1784" t="str">
        <f>'PLANILHA SEM DESON'!B50</f>
        <v>COMP ESTR 01</v>
      </c>
      <c r="B474" s="1940" t="str">
        <f>VLOOKUP(A474,'PLANILHA SEM DESON'!$B$17:$D$1700,2,FALSE)</f>
        <v>FORMA EM COMPENSADO PARA ENCAMISAMENTO DE TUBULÃO</v>
      </c>
      <c r="C474" s="1941"/>
      <c r="D474" s="1941"/>
      <c r="E474" s="1941"/>
      <c r="F474" s="1941"/>
      <c r="G474" s="1941"/>
      <c r="H474" s="1942"/>
      <c r="I474" s="1785" t="str">
        <f>VLOOKUP(A474,'PLANILHA SEM DESON'!$B$17:$D$1700,3,FALSE)</f>
        <v>m²</v>
      </c>
      <c r="J474" s="1786">
        <f>I483</f>
        <v>85.149999999999991</v>
      </c>
    </row>
    <row r="475" spans="1:10" ht="24">
      <c r="A475" s="1788" t="s">
        <v>2470</v>
      </c>
      <c r="B475" s="1789" t="s">
        <v>2471</v>
      </c>
      <c r="C475" s="1790" t="s">
        <v>2468</v>
      </c>
      <c r="D475" s="1791" t="s">
        <v>308</v>
      </c>
      <c r="E475" s="1790" t="s">
        <v>202</v>
      </c>
      <c r="F475" s="1792" t="s">
        <v>2472</v>
      </c>
      <c r="G475" s="1790" t="s">
        <v>2473</v>
      </c>
      <c r="H475" s="1793" t="s">
        <v>2474</v>
      </c>
      <c r="I475" s="1794" t="s">
        <v>2475</v>
      </c>
      <c r="J475" s="1795"/>
    </row>
    <row r="476" spans="1:10" ht="24">
      <c r="A476" s="1797" t="s">
        <v>2476</v>
      </c>
      <c r="B476" s="1798" t="s">
        <v>7</v>
      </c>
      <c r="C476" s="1798">
        <v>88239</v>
      </c>
      <c r="D476" s="1799" t="s">
        <v>454</v>
      </c>
      <c r="E476" s="1800" t="s">
        <v>57</v>
      </c>
      <c r="F476" s="1806">
        <v>1.1000000000000001</v>
      </c>
      <c r="G476" s="1808">
        <v>20.55</v>
      </c>
      <c r="H476" s="1802">
        <f t="shared" ref="H476:H482" si="55">IF(E476="H",G476,TRUNC(G476*(1-$K$7),2))</f>
        <v>20.55</v>
      </c>
      <c r="I476" s="1803">
        <f t="shared" ref="I476:I482" si="56">TRUNC(H476*F476,2)</f>
        <v>22.6</v>
      </c>
      <c r="J476" s="1795"/>
    </row>
    <row r="477" spans="1:10" ht="24">
      <c r="A477" s="1797" t="s">
        <v>2476</v>
      </c>
      <c r="B477" s="1798" t="s">
        <v>7</v>
      </c>
      <c r="C477" s="1798">
        <v>88262</v>
      </c>
      <c r="D477" s="1799" t="s">
        <v>441</v>
      </c>
      <c r="E477" s="1800" t="s">
        <v>57</v>
      </c>
      <c r="F477" s="1806">
        <v>1.1000000000000001</v>
      </c>
      <c r="G477" s="1808">
        <v>24.32</v>
      </c>
      <c r="H477" s="1802">
        <f t="shared" si="55"/>
        <v>24.32</v>
      </c>
      <c r="I477" s="1803">
        <f t="shared" si="56"/>
        <v>26.75</v>
      </c>
      <c r="J477" s="1795"/>
    </row>
    <row r="478" spans="1:10" ht="24">
      <c r="A478" s="1797" t="s">
        <v>2476</v>
      </c>
      <c r="B478" s="1798" t="s">
        <v>2479</v>
      </c>
      <c r="C478" s="1798">
        <v>4517</v>
      </c>
      <c r="D478" s="1799" t="s">
        <v>1731</v>
      </c>
      <c r="E478" s="1800" t="s">
        <v>54</v>
      </c>
      <c r="F478" s="1806">
        <v>1.25</v>
      </c>
      <c r="G478" s="1806">
        <v>4.08</v>
      </c>
      <c r="H478" s="1802">
        <f t="shared" si="55"/>
        <v>4.05</v>
      </c>
      <c r="I478" s="1803">
        <f t="shared" si="56"/>
        <v>5.0599999999999996</v>
      </c>
      <c r="J478" s="1795"/>
    </row>
    <row r="479" spans="1:10" ht="36">
      <c r="A479" s="1797" t="s">
        <v>2476</v>
      </c>
      <c r="B479" s="1798" t="s">
        <v>2479</v>
      </c>
      <c r="C479" s="1798">
        <v>6189</v>
      </c>
      <c r="D479" s="1799" t="s">
        <v>1435</v>
      </c>
      <c r="E479" s="1800" t="s">
        <v>46</v>
      </c>
      <c r="F479" s="1806">
        <v>0.2</v>
      </c>
      <c r="G479" s="1806">
        <v>26.29</v>
      </c>
      <c r="H479" s="1802">
        <f t="shared" si="55"/>
        <v>26.15</v>
      </c>
      <c r="I479" s="1803">
        <f t="shared" si="56"/>
        <v>5.23</v>
      </c>
      <c r="J479" s="1795"/>
    </row>
    <row r="480" spans="1:10" ht="24">
      <c r="A480" s="1797" t="s">
        <v>2476</v>
      </c>
      <c r="B480" s="1798" t="s">
        <v>2479</v>
      </c>
      <c r="C480" s="1798">
        <v>1346</v>
      </c>
      <c r="D480" s="1799" t="s">
        <v>1729</v>
      </c>
      <c r="E480" s="1800" t="s">
        <v>46</v>
      </c>
      <c r="F480" s="1806">
        <v>0.1</v>
      </c>
      <c r="G480" s="1806">
        <v>77.52</v>
      </c>
      <c r="H480" s="1802">
        <f t="shared" si="55"/>
        <v>77.12</v>
      </c>
      <c r="I480" s="1803">
        <f t="shared" si="56"/>
        <v>7.71</v>
      </c>
      <c r="J480" s="1795"/>
    </row>
    <row r="481" spans="1:10" ht="24">
      <c r="A481" s="1797" t="s">
        <v>2476</v>
      </c>
      <c r="B481" s="1798" t="s">
        <v>2479</v>
      </c>
      <c r="C481" s="1798">
        <v>5061</v>
      </c>
      <c r="D481" s="1799" t="s">
        <v>1434</v>
      </c>
      <c r="E481" s="1800" t="s">
        <v>100</v>
      </c>
      <c r="F481" s="1806">
        <v>0.7</v>
      </c>
      <c r="G481" s="1806">
        <v>25.45</v>
      </c>
      <c r="H481" s="1802">
        <f t="shared" si="55"/>
        <v>25.32</v>
      </c>
      <c r="I481" s="1803">
        <f t="shared" si="56"/>
        <v>17.72</v>
      </c>
      <c r="J481" s="1795"/>
    </row>
    <row r="482" spans="1:10" ht="24">
      <c r="A482" s="1797" t="s">
        <v>2476</v>
      </c>
      <c r="B482" s="1798" t="s">
        <v>2479</v>
      </c>
      <c r="C482" s="1798">
        <v>2692</v>
      </c>
      <c r="D482" s="1799" t="s">
        <v>1730</v>
      </c>
      <c r="E482" s="1800" t="s">
        <v>455</v>
      </c>
      <c r="F482" s="1806">
        <v>0.01</v>
      </c>
      <c r="G482" s="1806">
        <v>8.84</v>
      </c>
      <c r="H482" s="1802">
        <f t="shared" si="55"/>
        <v>8.7899999999999991</v>
      </c>
      <c r="I482" s="1803">
        <f t="shared" si="56"/>
        <v>0.08</v>
      </c>
      <c r="J482" s="1795"/>
    </row>
    <row r="483" spans="1:10">
      <c r="A483" s="1943" t="s">
        <v>2477</v>
      </c>
      <c r="B483" s="1944"/>
      <c r="C483" s="1944"/>
      <c r="D483" s="1944"/>
      <c r="E483" s="1944"/>
      <c r="F483" s="1944"/>
      <c r="G483" s="1944"/>
      <c r="H483" s="1945"/>
      <c r="I483" s="1805">
        <f>SUM(I476:I482)</f>
        <v>85.149999999999991</v>
      </c>
      <c r="J483" s="1795"/>
    </row>
    <row r="484" spans="1:10">
      <c r="A484" s="1929"/>
      <c r="B484" s="1930"/>
      <c r="C484" s="1930"/>
      <c r="D484" s="1930"/>
      <c r="E484" s="1930"/>
      <c r="F484" s="1930"/>
      <c r="G484" s="1930"/>
      <c r="H484" s="1930"/>
      <c r="I484" s="1931"/>
      <c r="J484" s="1795"/>
    </row>
    <row r="485" spans="1:10" ht="24.75" customHeight="1">
      <c r="A485" s="1784" t="str">
        <f>'PLANILHA SEM DESON'!B52</f>
        <v>COMP ESTR 02</v>
      </c>
      <c r="B485" s="1940" t="str">
        <f>VLOOKUP(A485,'PLANILHA SEM DESON'!$B$17:$D$1700,2,FALSE)</f>
        <v>LANÇAMENTO DE CONCRETO CONVENCIONAL EM FUNDAÇÕES</v>
      </c>
      <c r="C485" s="1941"/>
      <c r="D485" s="1941"/>
      <c r="E485" s="1941"/>
      <c r="F485" s="1941"/>
      <c r="G485" s="1941"/>
      <c r="H485" s="1942"/>
      <c r="I485" s="1785" t="str">
        <f>VLOOKUP(A485,'PLANILHA SEM DESON'!$B$17:$D$1700,3,FALSE)</f>
        <v>m³</v>
      </c>
      <c r="J485" s="1786">
        <f>I489</f>
        <v>78.36</v>
      </c>
    </row>
    <row r="486" spans="1:10" ht="24">
      <c r="A486" s="1788" t="s">
        <v>2470</v>
      </c>
      <c r="B486" s="1789" t="s">
        <v>2471</v>
      </c>
      <c r="C486" s="1790" t="s">
        <v>2468</v>
      </c>
      <c r="D486" s="1791" t="s">
        <v>308</v>
      </c>
      <c r="E486" s="1790" t="s">
        <v>202</v>
      </c>
      <c r="F486" s="1792" t="s">
        <v>2472</v>
      </c>
      <c r="G486" s="1790" t="s">
        <v>2473</v>
      </c>
      <c r="H486" s="1793" t="s">
        <v>2474</v>
      </c>
      <c r="I486" s="1794" t="s">
        <v>2475</v>
      </c>
      <c r="J486" s="1795"/>
    </row>
    <row r="487" spans="1:10">
      <c r="A487" s="1797" t="s">
        <v>2476</v>
      </c>
      <c r="B487" s="1798" t="s">
        <v>7</v>
      </c>
      <c r="C487" s="1798">
        <v>88309</v>
      </c>
      <c r="D487" s="1799" t="s">
        <v>103</v>
      </c>
      <c r="E487" s="1800" t="s">
        <v>57</v>
      </c>
      <c r="F487" s="1809">
        <v>1.0058</v>
      </c>
      <c r="G487" s="1808">
        <v>24.59</v>
      </c>
      <c r="H487" s="1802">
        <f>IF(E487="H",G487,TRUNC(G487*(1-$K$7),2))</f>
        <v>24.59</v>
      </c>
      <c r="I487" s="1803">
        <f t="shared" ref="I487:I488" si="57">TRUNC(H487*F487,2)</f>
        <v>24.73</v>
      </c>
      <c r="J487" s="1795"/>
    </row>
    <row r="488" spans="1:10">
      <c r="A488" s="1797" t="s">
        <v>2476</v>
      </c>
      <c r="B488" s="1798" t="s">
        <v>7</v>
      </c>
      <c r="C488" s="1798">
        <v>88316</v>
      </c>
      <c r="D488" s="1799" t="s">
        <v>66</v>
      </c>
      <c r="E488" s="1800" t="s">
        <v>57</v>
      </c>
      <c r="F488" s="1809">
        <v>2.7574000000000001</v>
      </c>
      <c r="G488" s="1808">
        <v>19.45</v>
      </c>
      <c r="H488" s="1802">
        <f>IF(E488="H",G488,TRUNC(G488*(1-$K$7),2))</f>
        <v>19.45</v>
      </c>
      <c r="I488" s="1803">
        <f t="shared" si="57"/>
        <v>53.63</v>
      </c>
      <c r="J488" s="1795"/>
    </row>
    <row r="489" spans="1:10">
      <c r="A489" s="1943" t="s">
        <v>2477</v>
      </c>
      <c r="B489" s="1944"/>
      <c r="C489" s="1944"/>
      <c r="D489" s="1944"/>
      <c r="E489" s="1944"/>
      <c r="F489" s="1944"/>
      <c r="G489" s="1944"/>
      <c r="H489" s="1945"/>
      <c r="I489" s="1805">
        <f>SUM(I487:I488)</f>
        <v>78.36</v>
      </c>
      <c r="J489" s="1795"/>
    </row>
    <row r="490" spans="1:10">
      <c r="A490" s="1929"/>
      <c r="B490" s="1930"/>
      <c r="C490" s="1930"/>
      <c r="D490" s="1930"/>
      <c r="E490" s="1930"/>
      <c r="F490" s="1930"/>
      <c r="G490" s="1930"/>
      <c r="H490" s="1930"/>
      <c r="I490" s="1931"/>
      <c r="J490" s="1795"/>
    </row>
    <row r="491" spans="1:10" ht="27.75" customHeight="1">
      <c r="A491" s="1784" t="str">
        <f>'PLANILHA SEM DESON'!B53</f>
        <v>COMP ESTR 03</v>
      </c>
      <c r="B491" s="1940" t="str">
        <f>VLOOKUP(A491,'PLANILHA SEM DESON'!$B$17:$D$1700,2,FALSE)</f>
        <v>ARMAÇÃO DE FUSTE DE TUBULÃO EM AÇO CA-50 COM APOIO DE GUIINDASTE - FORNECIMENTO , PREPARO E COLOCAÇÃO</v>
      </c>
      <c r="C491" s="1941"/>
      <c r="D491" s="1941"/>
      <c r="E491" s="1941"/>
      <c r="F491" s="1941"/>
      <c r="G491" s="1941"/>
      <c r="H491" s="1942"/>
      <c r="I491" s="1785" t="str">
        <f>VLOOKUP(A491,'PLANILHA SEM DESON'!$B$17:$D$1700,3,FALSE)</f>
        <v>Kg</v>
      </c>
      <c r="J491" s="1786">
        <f>I500</f>
        <v>60.24</v>
      </c>
    </row>
    <row r="492" spans="1:10" ht="24">
      <c r="A492" s="1788" t="s">
        <v>2470</v>
      </c>
      <c r="B492" s="1789" t="s">
        <v>2471</v>
      </c>
      <c r="C492" s="1790" t="s">
        <v>2468</v>
      </c>
      <c r="D492" s="1791" t="s">
        <v>308</v>
      </c>
      <c r="E492" s="1790" t="s">
        <v>202</v>
      </c>
      <c r="F492" s="1792" t="s">
        <v>2472</v>
      </c>
      <c r="G492" s="1790" t="s">
        <v>2473</v>
      </c>
      <c r="H492" s="1793" t="s">
        <v>2474</v>
      </c>
      <c r="I492" s="1794" t="s">
        <v>2475</v>
      </c>
      <c r="J492" s="1795"/>
    </row>
    <row r="493" spans="1:10" ht="24">
      <c r="A493" s="1797" t="s">
        <v>2476</v>
      </c>
      <c r="B493" s="1798"/>
      <c r="C493" s="1798">
        <v>88238</v>
      </c>
      <c r="D493" s="1799" t="s">
        <v>1212</v>
      </c>
      <c r="E493" s="1800" t="s">
        <v>57</v>
      </c>
      <c r="F493" s="1806">
        <v>1</v>
      </c>
      <c r="G493" s="1808">
        <v>19.41</v>
      </c>
      <c r="H493" s="1802">
        <f t="shared" ref="H493:H499" si="58">IF(E493="H",G493,TRUNC(G493*(1-$K$7),2))</f>
        <v>19.41</v>
      </c>
      <c r="I493" s="1803">
        <f t="shared" ref="I493:I499" si="59">TRUNC(H493*F493,2)</f>
        <v>19.41</v>
      </c>
      <c r="J493" s="1795"/>
    </row>
    <row r="494" spans="1:10">
      <c r="A494" s="1797" t="s">
        <v>2476</v>
      </c>
      <c r="B494" s="1798"/>
      <c r="C494" s="1798">
        <v>88245</v>
      </c>
      <c r="D494" s="1799" t="s">
        <v>1213</v>
      </c>
      <c r="E494" s="1800" t="s">
        <v>57</v>
      </c>
      <c r="F494" s="1806">
        <v>1</v>
      </c>
      <c r="G494" s="1808">
        <v>24.44</v>
      </c>
      <c r="H494" s="1802">
        <f t="shared" si="58"/>
        <v>24.44</v>
      </c>
      <c r="I494" s="1803">
        <f t="shared" si="59"/>
        <v>24.44</v>
      </c>
      <c r="J494" s="1795"/>
    </row>
    <row r="495" spans="1:10" ht="24">
      <c r="A495" s="1797" t="s">
        <v>2476</v>
      </c>
      <c r="B495" s="1798"/>
      <c r="C495" s="1798">
        <v>92803</v>
      </c>
      <c r="D495" s="1799" t="s">
        <v>2232</v>
      </c>
      <c r="E495" s="1800" t="s">
        <v>100</v>
      </c>
      <c r="F495" s="1806">
        <v>1.05</v>
      </c>
      <c r="G495" s="1806">
        <v>12.06</v>
      </c>
      <c r="H495" s="1802">
        <f t="shared" si="58"/>
        <v>11.99</v>
      </c>
      <c r="I495" s="1803">
        <f t="shared" si="59"/>
        <v>12.58</v>
      </c>
      <c r="J495" s="1795"/>
    </row>
    <row r="496" spans="1:10" ht="24">
      <c r="A496" s="1797" t="s">
        <v>2476</v>
      </c>
      <c r="B496" s="1798"/>
      <c r="C496" s="1798">
        <v>92800</v>
      </c>
      <c r="D496" s="1799" t="s">
        <v>2433</v>
      </c>
      <c r="E496" s="1800" t="s">
        <v>100</v>
      </c>
      <c r="F496" s="1806">
        <v>1.4999999999999999E-2</v>
      </c>
      <c r="G496" s="1806">
        <v>12.37</v>
      </c>
      <c r="H496" s="1802">
        <f t="shared" si="58"/>
        <v>12.3</v>
      </c>
      <c r="I496" s="1803">
        <f t="shared" si="59"/>
        <v>0.18</v>
      </c>
      <c r="J496" s="1795"/>
    </row>
    <row r="497" spans="1:10" ht="36">
      <c r="A497" s="1797" t="s">
        <v>2476</v>
      </c>
      <c r="B497" s="1798"/>
      <c r="C497" s="1798">
        <v>93287</v>
      </c>
      <c r="D497" s="1799" t="s">
        <v>1214</v>
      </c>
      <c r="E497" s="1800" t="s">
        <v>456</v>
      </c>
      <c r="F497" s="1809">
        <v>1.1299999999999999E-2</v>
      </c>
      <c r="G497" s="1807">
        <v>321.83999999999997</v>
      </c>
      <c r="H497" s="1802">
        <f t="shared" si="58"/>
        <v>320.19</v>
      </c>
      <c r="I497" s="1803">
        <f t="shared" si="59"/>
        <v>3.61</v>
      </c>
      <c r="J497" s="1795"/>
    </row>
    <row r="498" spans="1:10" ht="48">
      <c r="A498" s="1797" t="s">
        <v>2476</v>
      </c>
      <c r="B498" s="1798"/>
      <c r="C498" s="1798">
        <v>100263</v>
      </c>
      <c r="D498" s="1799" t="s">
        <v>1732</v>
      </c>
      <c r="E498" s="1800" t="s">
        <v>1733</v>
      </c>
      <c r="F498" s="1809">
        <v>1.0500000000000001E-2</v>
      </c>
      <c r="G498" s="1806">
        <v>1.95</v>
      </c>
      <c r="H498" s="1802">
        <f t="shared" si="58"/>
        <v>1.94</v>
      </c>
      <c r="I498" s="1803">
        <f t="shared" si="59"/>
        <v>0.02</v>
      </c>
      <c r="J498" s="1795"/>
    </row>
    <row r="499" spans="1:10" ht="36">
      <c r="A499" s="1797" t="s">
        <v>2476</v>
      </c>
      <c r="B499" s="1798"/>
      <c r="C499" s="1798">
        <v>100260</v>
      </c>
      <c r="D499" s="1799" t="s">
        <v>1734</v>
      </c>
      <c r="E499" s="1800" t="s">
        <v>1733</v>
      </c>
      <c r="F499" s="1809">
        <v>2.0000000000000001E-4</v>
      </c>
      <c r="G499" s="1806">
        <v>7.84</v>
      </c>
      <c r="H499" s="1802">
        <f t="shared" si="58"/>
        <v>7.8</v>
      </c>
      <c r="I499" s="1803">
        <f t="shared" si="59"/>
        <v>0</v>
      </c>
      <c r="J499" s="1795"/>
    </row>
    <row r="500" spans="1:10">
      <c r="A500" s="1943" t="s">
        <v>2477</v>
      </c>
      <c r="B500" s="1944"/>
      <c r="C500" s="1944"/>
      <c r="D500" s="1944"/>
      <c r="E500" s="1944"/>
      <c r="F500" s="1944"/>
      <c r="G500" s="1944"/>
      <c r="H500" s="1945"/>
      <c r="I500" s="1805">
        <f>SUM(I493:I499)</f>
        <v>60.24</v>
      </c>
      <c r="J500" s="1795"/>
    </row>
    <row r="501" spans="1:10">
      <c r="A501" s="1929"/>
      <c r="B501" s="1930"/>
      <c r="C501" s="1930"/>
      <c r="D501" s="1930"/>
      <c r="E501" s="1930"/>
      <c r="F501" s="1930"/>
      <c r="G501" s="1930"/>
      <c r="H501" s="1930"/>
      <c r="I501" s="1931"/>
      <c r="J501" s="1795"/>
    </row>
    <row r="502" spans="1:10" ht="26.25" customHeight="1">
      <c r="A502" s="1784">
        <f>'PLANILHA SEM DESON'!B55</f>
        <v>92522</v>
      </c>
      <c r="B502" s="1940" t="str">
        <f>VLOOKUP(A502,'PLANILHA SEM DESON'!$B$17:$D$1700,2,FALSE)</f>
        <v>MONTAGEM E DESMONTAGEM DE FÔRMA DE LAJE MACIÇA, PÉ-DIREITO SIMPLES, EM CHAPA DE MADEIRA COMPENSADA RESINADA, 8 UTILIZAÇÕES. AF_09/2020</v>
      </c>
      <c r="C502" s="1941"/>
      <c r="D502" s="1941"/>
      <c r="E502" s="1941"/>
      <c r="F502" s="1941"/>
      <c r="G502" s="1941"/>
      <c r="H502" s="1942"/>
      <c r="I502" s="1785" t="str">
        <f>VLOOKUP(A502,'PLANILHA SEM DESON'!$B$17:$D$1700,3,FALSE)</f>
        <v>m²</v>
      </c>
      <c r="J502" s="1786">
        <f>I510</f>
        <v>47.66</v>
      </c>
    </row>
    <row r="503" spans="1:10" ht="24">
      <c r="A503" s="1788" t="s">
        <v>2470</v>
      </c>
      <c r="B503" s="1789" t="s">
        <v>2471</v>
      </c>
      <c r="C503" s="1790" t="s">
        <v>2468</v>
      </c>
      <c r="D503" s="1791" t="s">
        <v>308</v>
      </c>
      <c r="E503" s="1790" t="s">
        <v>202</v>
      </c>
      <c r="F503" s="1792" t="s">
        <v>2472</v>
      </c>
      <c r="G503" s="1790" t="s">
        <v>2473</v>
      </c>
      <c r="H503" s="1793" t="s">
        <v>2474</v>
      </c>
      <c r="I503" s="1794" t="s">
        <v>2475</v>
      </c>
      <c r="J503" s="1795"/>
    </row>
    <row r="504" spans="1:10" ht="24">
      <c r="A504" s="1797" t="s">
        <v>2476</v>
      </c>
      <c r="B504" s="1798" t="s">
        <v>2479</v>
      </c>
      <c r="C504" s="1798">
        <v>2692</v>
      </c>
      <c r="D504" s="1799" t="s">
        <v>1730</v>
      </c>
      <c r="E504" s="1800" t="s">
        <v>455</v>
      </c>
      <c r="F504" s="1807">
        <v>0.01</v>
      </c>
      <c r="G504" s="1801">
        <v>8.84</v>
      </c>
      <c r="H504" s="1802">
        <f t="shared" ref="H504:H509" si="60">IF(E504="H",G504,TRUNC(G504*(1-$K$7),2))</f>
        <v>8.7899999999999991</v>
      </c>
      <c r="I504" s="1803">
        <f t="shared" ref="I504:I509" si="61">TRUNC(H504*F504,2)</f>
        <v>0.08</v>
      </c>
      <c r="J504" s="1795"/>
    </row>
    <row r="505" spans="1:10" ht="48">
      <c r="A505" s="1797" t="s">
        <v>2476</v>
      </c>
      <c r="B505" s="1798" t="s">
        <v>2479</v>
      </c>
      <c r="C505" s="1798">
        <v>10749</v>
      </c>
      <c r="D505" s="1799" t="s">
        <v>2631</v>
      </c>
      <c r="E505" s="1800" t="s">
        <v>2632</v>
      </c>
      <c r="F505" s="1807">
        <v>0.39700000000000002</v>
      </c>
      <c r="G505" s="1801">
        <v>10.99</v>
      </c>
      <c r="H505" s="1802">
        <f t="shared" si="60"/>
        <v>10.93</v>
      </c>
      <c r="I505" s="1803">
        <f t="shared" si="61"/>
        <v>4.33</v>
      </c>
      <c r="J505" s="1795"/>
    </row>
    <row r="506" spans="1:10" ht="24">
      <c r="A506" s="1797" t="s">
        <v>2476</v>
      </c>
      <c r="B506" s="1798" t="s">
        <v>2479</v>
      </c>
      <c r="C506" s="1798">
        <v>40270</v>
      </c>
      <c r="D506" s="1799" t="s">
        <v>2633</v>
      </c>
      <c r="E506" s="1800" t="s">
        <v>160</v>
      </c>
      <c r="F506" s="1807">
        <v>9.5000000000000001E-2</v>
      </c>
      <c r="G506" s="1801">
        <v>125.53</v>
      </c>
      <c r="H506" s="1802">
        <f t="shared" si="60"/>
        <v>124.88</v>
      </c>
      <c r="I506" s="1803">
        <f t="shared" si="61"/>
        <v>11.86</v>
      </c>
      <c r="J506" s="1795"/>
    </row>
    <row r="507" spans="1:10" ht="24">
      <c r="A507" s="1797" t="s">
        <v>2476</v>
      </c>
      <c r="B507" s="1798" t="s">
        <v>7</v>
      </c>
      <c r="C507" s="1798">
        <v>88239</v>
      </c>
      <c r="D507" s="1799" t="s">
        <v>454</v>
      </c>
      <c r="E507" s="1800" t="s">
        <v>411</v>
      </c>
      <c r="F507" s="1807">
        <v>9.9000000000000005E-2</v>
      </c>
      <c r="G507" s="1801">
        <v>20.55</v>
      </c>
      <c r="H507" s="1802">
        <f t="shared" si="60"/>
        <v>20.55</v>
      </c>
      <c r="I507" s="1803">
        <f t="shared" si="61"/>
        <v>2.0299999999999998</v>
      </c>
      <c r="J507" s="1795"/>
    </row>
    <row r="508" spans="1:10" ht="24">
      <c r="A508" s="1797" t="s">
        <v>2476</v>
      </c>
      <c r="B508" s="1798" t="s">
        <v>7</v>
      </c>
      <c r="C508" s="1798">
        <v>88262</v>
      </c>
      <c r="D508" s="1799" t="s">
        <v>441</v>
      </c>
      <c r="E508" s="1800" t="s">
        <v>411</v>
      </c>
      <c r="F508" s="1807">
        <v>0.54300000000000004</v>
      </c>
      <c r="G508" s="1801">
        <v>24.32</v>
      </c>
      <c r="H508" s="1802">
        <f t="shared" si="60"/>
        <v>24.32</v>
      </c>
      <c r="I508" s="1803">
        <f t="shared" si="61"/>
        <v>13.2</v>
      </c>
      <c r="J508" s="1795"/>
    </row>
    <row r="509" spans="1:10" ht="36">
      <c r="A509" s="1797" t="s">
        <v>2476</v>
      </c>
      <c r="B509" s="1798" t="s">
        <v>7</v>
      </c>
      <c r="C509" s="1798">
        <v>92267</v>
      </c>
      <c r="D509" s="1799" t="s">
        <v>2634</v>
      </c>
      <c r="E509" s="1800" t="s">
        <v>1176</v>
      </c>
      <c r="F509" s="1807">
        <v>0.19500000000000001</v>
      </c>
      <c r="G509" s="1801">
        <v>83.35</v>
      </c>
      <c r="H509" s="1802">
        <f t="shared" si="60"/>
        <v>82.92</v>
      </c>
      <c r="I509" s="1803">
        <f t="shared" si="61"/>
        <v>16.16</v>
      </c>
      <c r="J509" s="1795"/>
    </row>
    <row r="510" spans="1:10">
      <c r="A510" s="1943" t="s">
        <v>2477</v>
      </c>
      <c r="B510" s="1944"/>
      <c r="C510" s="1944"/>
      <c r="D510" s="1944"/>
      <c r="E510" s="1944"/>
      <c r="F510" s="1944"/>
      <c r="G510" s="1944"/>
      <c r="H510" s="1945"/>
      <c r="I510" s="1805">
        <f>SUM(I504:I509)</f>
        <v>47.66</v>
      </c>
      <c r="J510" s="1795"/>
    </row>
    <row r="511" spans="1:10">
      <c r="A511" s="1929"/>
      <c r="B511" s="1930"/>
      <c r="C511" s="1930"/>
      <c r="D511" s="1930"/>
      <c r="E511" s="1930"/>
      <c r="F511" s="1930"/>
      <c r="G511" s="1930"/>
      <c r="H511" s="1930"/>
      <c r="I511" s="1931"/>
      <c r="J511" s="1795"/>
    </row>
    <row r="512" spans="1:10" ht="23.25" customHeight="1">
      <c r="A512" s="1784">
        <f>'PLANILHA SEM DESON'!B58</f>
        <v>92768</v>
      </c>
      <c r="B512" s="1940" t="str">
        <f>VLOOKUP(A512,'PLANILHA SEM DESON'!$B$17:$D$1700,2,FALSE)</f>
        <v>ARMAÇÃO DE LAJE DE ESTRUTURA CONVENCIONAL DE CONCRETO ARMADO UTILIZANDO AÇO CA-60 DE 5,0 MM - MONTAGEM. AF_06/2022</v>
      </c>
      <c r="C512" s="1941"/>
      <c r="D512" s="1941"/>
      <c r="E512" s="1941"/>
      <c r="F512" s="1941"/>
      <c r="G512" s="1941"/>
      <c r="H512" s="1942"/>
      <c r="I512" s="1785" t="str">
        <f>VLOOKUP(A512,'PLANILHA SEM DESON'!$B$17:$D$1700,3,FALSE)</f>
        <v>Kg</v>
      </c>
      <c r="J512" s="1786">
        <f>I519</f>
        <v>15.65</v>
      </c>
    </row>
    <row r="513" spans="1:10" ht="24">
      <c r="A513" s="1788" t="s">
        <v>2470</v>
      </c>
      <c r="B513" s="1789" t="s">
        <v>2471</v>
      </c>
      <c r="C513" s="1790" t="s">
        <v>2468</v>
      </c>
      <c r="D513" s="1791" t="s">
        <v>308</v>
      </c>
      <c r="E513" s="1790" t="s">
        <v>202</v>
      </c>
      <c r="F513" s="1792" t="s">
        <v>2472</v>
      </c>
      <c r="G513" s="1790" t="s">
        <v>2473</v>
      </c>
      <c r="H513" s="1793" t="s">
        <v>2474</v>
      </c>
      <c r="I513" s="1794" t="s">
        <v>2475</v>
      </c>
      <c r="J513" s="1795"/>
    </row>
    <row r="514" spans="1:10" ht="36">
      <c r="A514" s="1797" t="s">
        <v>2476</v>
      </c>
      <c r="B514" s="1798" t="s">
        <v>2479</v>
      </c>
      <c r="C514" s="1798">
        <v>39017</v>
      </c>
      <c r="D514" s="1799" t="s">
        <v>2627</v>
      </c>
      <c r="E514" s="1800" t="s">
        <v>2501</v>
      </c>
      <c r="F514" s="1807">
        <v>2.1179999999999999</v>
      </c>
      <c r="G514" s="1801">
        <v>0.22</v>
      </c>
      <c r="H514" s="1802">
        <f>IF(E514="H",G514,TRUNC(G514*(1-$K$7),2))</f>
        <v>0.21</v>
      </c>
      <c r="I514" s="1803">
        <f t="shared" ref="I514:I518" si="62">TRUNC(H514*F514,2)</f>
        <v>0.44</v>
      </c>
      <c r="J514" s="1795"/>
    </row>
    <row r="515" spans="1:10" ht="24">
      <c r="A515" s="1797" t="s">
        <v>2476</v>
      </c>
      <c r="B515" s="1798" t="s">
        <v>2479</v>
      </c>
      <c r="C515" s="1798">
        <v>43132</v>
      </c>
      <c r="D515" s="1799" t="s">
        <v>2628</v>
      </c>
      <c r="E515" s="1800" t="s">
        <v>1383</v>
      </c>
      <c r="F515" s="1807">
        <v>2.5000000000000001E-2</v>
      </c>
      <c r="G515" s="1801">
        <v>24.9</v>
      </c>
      <c r="H515" s="1802">
        <f>IF(E515="H",G515,TRUNC(G515*(1-$K$7),2))</f>
        <v>24.77</v>
      </c>
      <c r="I515" s="1803">
        <f t="shared" si="62"/>
        <v>0.61</v>
      </c>
      <c r="J515" s="1795"/>
    </row>
    <row r="516" spans="1:10" ht="24">
      <c r="A516" s="1797" t="s">
        <v>2476</v>
      </c>
      <c r="B516" s="1798" t="s">
        <v>7</v>
      </c>
      <c r="C516" s="1798">
        <v>88238</v>
      </c>
      <c r="D516" s="1799" t="s">
        <v>1212</v>
      </c>
      <c r="E516" s="1800" t="s">
        <v>411</v>
      </c>
      <c r="F516" s="1807">
        <v>1.3599999999999999E-2</v>
      </c>
      <c r="G516" s="1801">
        <v>19.41</v>
      </c>
      <c r="H516" s="1802">
        <f>IF(E516="H",G516,TRUNC(G516*(1-$K$7),2))</f>
        <v>19.41</v>
      </c>
      <c r="I516" s="1803">
        <f t="shared" si="62"/>
        <v>0.26</v>
      </c>
      <c r="J516" s="1795"/>
    </row>
    <row r="517" spans="1:10">
      <c r="A517" s="1797" t="s">
        <v>2476</v>
      </c>
      <c r="B517" s="1798" t="s">
        <v>7</v>
      </c>
      <c r="C517" s="1798">
        <v>88245</v>
      </c>
      <c r="D517" s="1799" t="s">
        <v>1213</v>
      </c>
      <c r="E517" s="1800" t="s">
        <v>411</v>
      </c>
      <c r="F517" s="1807">
        <v>8.3599999999999994E-2</v>
      </c>
      <c r="G517" s="1801">
        <v>24.44</v>
      </c>
      <c r="H517" s="1802">
        <f>IF(E517="H",G517,TRUNC(G517*(1-$K$7),2))</f>
        <v>24.44</v>
      </c>
      <c r="I517" s="1803">
        <f t="shared" si="62"/>
        <v>2.04</v>
      </c>
      <c r="J517" s="1795"/>
    </row>
    <row r="518" spans="1:10" ht="24">
      <c r="A518" s="1797" t="s">
        <v>2476</v>
      </c>
      <c r="B518" s="1798" t="s">
        <v>7</v>
      </c>
      <c r="C518" s="1798">
        <v>92800</v>
      </c>
      <c r="D518" s="1799" t="s">
        <v>2433</v>
      </c>
      <c r="E518" s="1800" t="s">
        <v>1184</v>
      </c>
      <c r="F518" s="1807">
        <v>1</v>
      </c>
      <c r="G518" s="1801">
        <v>12.37</v>
      </c>
      <c r="H518" s="1802">
        <f>IF(E518="H",G518,TRUNC(G518*(1-$K$7),2))</f>
        <v>12.3</v>
      </c>
      <c r="I518" s="1803">
        <f t="shared" si="62"/>
        <v>12.3</v>
      </c>
      <c r="J518" s="1795"/>
    </row>
    <row r="519" spans="1:10">
      <c r="A519" s="1943" t="s">
        <v>2477</v>
      </c>
      <c r="B519" s="1944"/>
      <c r="C519" s="1944"/>
      <c r="D519" s="1944"/>
      <c r="E519" s="1944"/>
      <c r="F519" s="1944"/>
      <c r="G519" s="1944"/>
      <c r="H519" s="1945"/>
      <c r="I519" s="1805">
        <f>SUM(I514:I518)</f>
        <v>15.65</v>
      </c>
      <c r="J519" s="1795"/>
    </row>
    <row r="520" spans="1:10">
      <c r="A520" s="1929"/>
      <c r="B520" s="1930"/>
      <c r="C520" s="1930"/>
      <c r="D520" s="1930"/>
      <c r="E520" s="1930"/>
      <c r="F520" s="1930"/>
      <c r="G520" s="1930"/>
      <c r="H520" s="1930"/>
      <c r="I520" s="1931"/>
      <c r="J520" s="1795"/>
    </row>
    <row r="521" spans="1:10" ht="25.5" customHeight="1">
      <c r="A521" s="1784">
        <f>'PLANILHA SEM DESON'!B59</f>
        <v>92769</v>
      </c>
      <c r="B521" s="1940" t="str">
        <f>VLOOKUP(A521,'PLANILHA SEM DESON'!$B$17:$D$1700,2,FALSE)</f>
        <v>ARMAÇÃO DE LAJE DE ESTRUTURA CONVENCIONAL DE CONCRETO ARMADO UTILIZANDO AÇO CA-60 DE 6,3 MM - MONTAGEM. AF_06/2022</v>
      </c>
      <c r="C521" s="1941"/>
      <c r="D521" s="1941"/>
      <c r="E521" s="1941"/>
      <c r="F521" s="1941"/>
      <c r="G521" s="1941"/>
      <c r="H521" s="1942"/>
      <c r="I521" s="1785" t="str">
        <f>VLOOKUP(A521,'PLANILHA SEM DESON'!$B$17:$D$1700,3,FALSE)</f>
        <v>Kg</v>
      </c>
      <c r="J521" s="1786">
        <f>I528</f>
        <v>15.309999999999999</v>
      </c>
    </row>
    <row r="522" spans="1:10" ht="24">
      <c r="A522" s="1788" t="s">
        <v>2470</v>
      </c>
      <c r="B522" s="1789" t="s">
        <v>2471</v>
      </c>
      <c r="C522" s="1790" t="s">
        <v>2468</v>
      </c>
      <c r="D522" s="1791" t="s">
        <v>308</v>
      </c>
      <c r="E522" s="1790" t="s">
        <v>202</v>
      </c>
      <c r="F522" s="1792" t="s">
        <v>2472</v>
      </c>
      <c r="G522" s="1790" t="s">
        <v>2473</v>
      </c>
      <c r="H522" s="1793" t="s">
        <v>2474</v>
      </c>
      <c r="I522" s="1794" t="s">
        <v>2475</v>
      </c>
      <c r="J522" s="1795"/>
    </row>
    <row r="523" spans="1:10" ht="36">
      <c r="A523" s="1797" t="s">
        <v>2476</v>
      </c>
      <c r="B523" s="1798" t="s">
        <v>2479</v>
      </c>
      <c r="C523" s="1798">
        <v>39017</v>
      </c>
      <c r="D523" s="1799" t="s">
        <v>2627</v>
      </c>
      <c r="E523" s="1800" t="s">
        <v>2501</v>
      </c>
      <c r="F523" s="1807">
        <v>1.333</v>
      </c>
      <c r="G523" s="1801">
        <v>0.22</v>
      </c>
      <c r="H523" s="1802">
        <f>IF(E523="H",G523,TRUNC(G523*(1-$K$7),2))</f>
        <v>0.21</v>
      </c>
      <c r="I523" s="1803">
        <f t="shared" ref="I523:I527" si="63">TRUNC(H523*F523,2)</f>
        <v>0.27</v>
      </c>
      <c r="J523" s="1795"/>
    </row>
    <row r="524" spans="1:10" ht="24">
      <c r="A524" s="1797" t="s">
        <v>2476</v>
      </c>
      <c r="B524" s="1798" t="s">
        <v>2479</v>
      </c>
      <c r="C524" s="1798">
        <v>43132</v>
      </c>
      <c r="D524" s="1799" t="s">
        <v>2628</v>
      </c>
      <c r="E524" s="1800" t="s">
        <v>1383</v>
      </c>
      <c r="F524" s="1807">
        <v>2.5000000000000001E-2</v>
      </c>
      <c r="G524" s="1801">
        <v>24.9</v>
      </c>
      <c r="H524" s="1802">
        <f>IF(E524="H",G524,TRUNC(G524*(1-$K$7),2))</f>
        <v>24.77</v>
      </c>
      <c r="I524" s="1803">
        <f t="shared" si="63"/>
        <v>0.61</v>
      </c>
      <c r="J524" s="1795"/>
    </row>
    <row r="525" spans="1:10" ht="24">
      <c r="A525" s="1797" t="s">
        <v>2476</v>
      </c>
      <c r="B525" s="1798" t="s">
        <v>7</v>
      </c>
      <c r="C525" s="1798">
        <v>88238</v>
      </c>
      <c r="D525" s="1799" t="s">
        <v>1212</v>
      </c>
      <c r="E525" s="1800" t="s">
        <v>411</v>
      </c>
      <c r="F525" s="1807">
        <v>9.7999999999999997E-3</v>
      </c>
      <c r="G525" s="1801">
        <v>19.41</v>
      </c>
      <c r="H525" s="1802">
        <f>IF(E525="H",G525,TRUNC(G525*(1-$K$7),2))</f>
        <v>19.41</v>
      </c>
      <c r="I525" s="1803">
        <f t="shared" si="63"/>
        <v>0.19</v>
      </c>
      <c r="J525" s="1795"/>
    </row>
    <row r="526" spans="1:10">
      <c r="A526" s="1797" t="s">
        <v>2476</v>
      </c>
      <c r="B526" s="1798" t="s">
        <v>7</v>
      </c>
      <c r="C526" s="1798">
        <v>88245</v>
      </c>
      <c r="D526" s="1799" t="s">
        <v>1213</v>
      </c>
      <c r="E526" s="1800" t="s">
        <v>411</v>
      </c>
      <c r="F526" s="1807">
        <v>5.9700000000000003E-2</v>
      </c>
      <c r="G526" s="1801">
        <v>24.44</v>
      </c>
      <c r="H526" s="1802">
        <f>IF(E526="H",G526,TRUNC(G526*(1-$K$7),2))</f>
        <v>24.44</v>
      </c>
      <c r="I526" s="1803">
        <f t="shared" si="63"/>
        <v>1.45</v>
      </c>
      <c r="J526" s="1795"/>
    </row>
    <row r="527" spans="1:10" ht="24">
      <c r="A527" s="1797" t="s">
        <v>2476</v>
      </c>
      <c r="B527" s="1798" t="s">
        <v>7</v>
      </c>
      <c r="C527" s="1798">
        <v>92801</v>
      </c>
      <c r="D527" s="1799" t="s">
        <v>2635</v>
      </c>
      <c r="E527" s="1800" t="s">
        <v>1184</v>
      </c>
      <c r="F527" s="1807">
        <v>1</v>
      </c>
      <c r="G527" s="1801">
        <v>12.86</v>
      </c>
      <c r="H527" s="1802">
        <f>IF(E527="H",G527,TRUNC(G527*(1-$K$7),2))</f>
        <v>12.79</v>
      </c>
      <c r="I527" s="1803">
        <f t="shared" si="63"/>
        <v>12.79</v>
      </c>
      <c r="J527" s="1795"/>
    </row>
    <row r="528" spans="1:10">
      <c r="A528" s="1943" t="s">
        <v>2477</v>
      </c>
      <c r="B528" s="1944"/>
      <c r="C528" s="1944"/>
      <c r="D528" s="1944"/>
      <c r="E528" s="1944"/>
      <c r="F528" s="1944"/>
      <c r="G528" s="1944"/>
      <c r="H528" s="1945"/>
      <c r="I528" s="1805">
        <f>SUM(I523:I527)</f>
        <v>15.309999999999999</v>
      </c>
      <c r="J528" s="1795"/>
    </row>
    <row r="529" spans="1:10">
      <c r="A529" s="1929"/>
      <c r="B529" s="1930"/>
      <c r="C529" s="1930"/>
      <c r="D529" s="1930"/>
      <c r="E529" s="1930"/>
      <c r="F529" s="1930"/>
      <c r="G529" s="1930"/>
      <c r="H529" s="1930"/>
      <c r="I529" s="1931"/>
      <c r="J529" s="1795"/>
    </row>
    <row r="530" spans="1:10" ht="24.75" customHeight="1">
      <c r="A530" s="1784">
        <f>'PLANILHA SEM DESON'!B60</f>
        <v>92770</v>
      </c>
      <c r="B530" s="1940" t="str">
        <f>VLOOKUP(A530,'PLANILHA SEM DESON'!$B$17:$D$1700,2,FALSE)</f>
        <v>ARMAÇÃO DE LAJE DE ESTRUTURA CONVENCIONAL DE CONCRETO ARMADO UTILIZANDO AÇO CA-50 DE 8,0 MM - MONTAGEM. AF_06/2022</v>
      </c>
      <c r="C530" s="1941"/>
      <c r="D530" s="1941"/>
      <c r="E530" s="1941"/>
      <c r="F530" s="1941"/>
      <c r="G530" s="1941"/>
      <c r="H530" s="1942"/>
      <c r="I530" s="1785" t="str">
        <f>VLOOKUP(A530,'PLANILHA SEM DESON'!$B$17:$D$1700,3,FALSE)</f>
        <v>Kg</v>
      </c>
      <c r="J530" s="1786">
        <f>I537</f>
        <v>14.77</v>
      </c>
    </row>
    <row r="531" spans="1:10" ht="24">
      <c r="A531" s="1788" t="s">
        <v>2470</v>
      </c>
      <c r="B531" s="1789" t="s">
        <v>2471</v>
      </c>
      <c r="C531" s="1790" t="s">
        <v>2468</v>
      </c>
      <c r="D531" s="1791" t="s">
        <v>308</v>
      </c>
      <c r="E531" s="1790" t="s">
        <v>202</v>
      </c>
      <c r="F531" s="1792" t="s">
        <v>2472</v>
      </c>
      <c r="G531" s="1790" t="s">
        <v>2473</v>
      </c>
      <c r="H531" s="1793" t="s">
        <v>2474</v>
      </c>
      <c r="I531" s="1794" t="s">
        <v>2475</v>
      </c>
      <c r="J531" s="1795"/>
    </row>
    <row r="532" spans="1:10" ht="36">
      <c r="A532" s="1797" t="s">
        <v>2476</v>
      </c>
      <c r="B532" s="1798" t="s">
        <v>2479</v>
      </c>
      <c r="C532" s="1798">
        <v>39017</v>
      </c>
      <c r="D532" s="1799" t="s">
        <v>2627</v>
      </c>
      <c r="E532" s="1800" t="s">
        <v>2501</v>
      </c>
      <c r="F532" s="1807">
        <v>0.72799999999999998</v>
      </c>
      <c r="G532" s="1801">
        <v>0.22</v>
      </c>
      <c r="H532" s="1802">
        <f>IF(E532="H",G532,TRUNC(G532*(1-$K$7),2))</f>
        <v>0.21</v>
      </c>
      <c r="I532" s="1803">
        <f t="shared" ref="I532:I536" si="64">TRUNC(H532*F532,2)</f>
        <v>0.15</v>
      </c>
      <c r="J532" s="1795"/>
    </row>
    <row r="533" spans="1:10" ht="24">
      <c r="A533" s="1797" t="s">
        <v>2476</v>
      </c>
      <c r="B533" s="1798" t="s">
        <v>2479</v>
      </c>
      <c r="C533" s="1798">
        <v>43132</v>
      </c>
      <c r="D533" s="1799" t="s">
        <v>2628</v>
      </c>
      <c r="E533" s="1800" t="s">
        <v>1383</v>
      </c>
      <c r="F533" s="1807">
        <v>2.5000000000000001E-2</v>
      </c>
      <c r="G533" s="1801">
        <v>24.9</v>
      </c>
      <c r="H533" s="1802">
        <f>IF(E533="H",G533,TRUNC(G533*(1-$K$7),2))</f>
        <v>24.77</v>
      </c>
      <c r="I533" s="1803">
        <f t="shared" si="64"/>
        <v>0.61</v>
      </c>
      <c r="J533" s="1795"/>
    </row>
    <row r="534" spans="1:10" ht="24">
      <c r="A534" s="1797" t="s">
        <v>2476</v>
      </c>
      <c r="B534" s="1798" t="s">
        <v>7</v>
      </c>
      <c r="C534" s="1798">
        <v>88238</v>
      </c>
      <c r="D534" s="1799" t="s">
        <v>1212</v>
      </c>
      <c r="E534" s="1800" t="s">
        <v>411</v>
      </c>
      <c r="F534" s="1807">
        <v>6.6E-3</v>
      </c>
      <c r="G534" s="1801">
        <v>19.41</v>
      </c>
      <c r="H534" s="1802">
        <f>IF(E534="H",G534,TRUNC(G534*(1-$K$7),2))</f>
        <v>19.41</v>
      </c>
      <c r="I534" s="1803">
        <f t="shared" si="64"/>
        <v>0.12</v>
      </c>
      <c r="J534" s="1795"/>
    </row>
    <row r="535" spans="1:10">
      <c r="A535" s="1797" t="s">
        <v>2476</v>
      </c>
      <c r="B535" s="1798" t="s">
        <v>7</v>
      </c>
      <c r="C535" s="1798">
        <v>88245</v>
      </c>
      <c r="D535" s="1799" t="s">
        <v>1213</v>
      </c>
      <c r="E535" s="1800" t="s">
        <v>411</v>
      </c>
      <c r="F535" s="1807">
        <v>4.0300000000000002E-2</v>
      </c>
      <c r="G535" s="1801">
        <v>24.44</v>
      </c>
      <c r="H535" s="1802">
        <f>IF(E535="H",G535,TRUNC(G535*(1-$K$7),2))</f>
        <v>24.44</v>
      </c>
      <c r="I535" s="1803">
        <f t="shared" si="64"/>
        <v>0.98</v>
      </c>
      <c r="J535" s="1795"/>
    </row>
    <row r="536" spans="1:10" ht="24">
      <c r="A536" s="1797" t="s">
        <v>2476</v>
      </c>
      <c r="B536" s="1798" t="s">
        <v>7</v>
      </c>
      <c r="C536" s="1798">
        <v>92802</v>
      </c>
      <c r="D536" s="1799" t="s">
        <v>2629</v>
      </c>
      <c r="E536" s="1800" t="s">
        <v>1184</v>
      </c>
      <c r="F536" s="1807">
        <v>1</v>
      </c>
      <c r="G536" s="1801">
        <v>12.98</v>
      </c>
      <c r="H536" s="1802">
        <f>IF(E536="H",G536,TRUNC(G536*(1-$K$7),2))</f>
        <v>12.91</v>
      </c>
      <c r="I536" s="1803">
        <f t="shared" si="64"/>
        <v>12.91</v>
      </c>
      <c r="J536" s="1795"/>
    </row>
    <row r="537" spans="1:10">
      <c r="A537" s="1943" t="s">
        <v>2477</v>
      </c>
      <c r="B537" s="1944"/>
      <c r="C537" s="1944"/>
      <c r="D537" s="1944"/>
      <c r="E537" s="1944"/>
      <c r="F537" s="1944"/>
      <c r="G537" s="1944"/>
      <c r="H537" s="1945"/>
      <c r="I537" s="1805">
        <f>SUM(I532:I536)</f>
        <v>14.77</v>
      </c>
      <c r="J537" s="1795"/>
    </row>
    <row r="538" spans="1:10">
      <c r="A538" s="1929"/>
      <c r="B538" s="1930"/>
      <c r="C538" s="1930"/>
      <c r="D538" s="1930"/>
      <c r="E538" s="1930"/>
      <c r="F538" s="1930"/>
      <c r="G538" s="1930"/>
      <c r="H538" s="1930"/>
      <c r="I538" s="1931"/>
      <c r="J538" s="1795"/>
    </row>
    <row r="539" spans="1:10" ht="28.5" customHeight="1">
      <c r="A539" s="1784">
        <f>'PLANILHA SEM DESON'!B61</f>
        <v>102730</v>
      </c>
      <c r="B539" s="1940" t="str">
        <f>VLOOKUP(A539,'PLANILHA SEM DESON'!$B$17:$D$1700,2,FALSE)</f>
        <v>ARMAÇÃO DE LAJE DE UMA ESTRUTURA CONVENCIONAL DE CONCRETO ARMADO EM UMA EDIFICAÇÃO TÉRREA OU SOBRADO UTILIZANDO AÇO CA-50 DE 10,0 MM - MONTAGEM. AF_12/2015</v>
      </c>
      <c r="C539" s="1941"/>
      <c r="D539" s="1941"/>
      <c r="E539" s="1941"/>
      <c r="F539" s="1941"/>
      <c r="G539" s="1941"/>
      <c r="H539" s="1942"/>
      <c r="I539" s="1785" t="str">
        <f>VLOOKUP(A539,'PLANILHA SEM DESON'!$B$17:$D$1700,3,FALSE)</f>
        <v>Kg</v>
      </c>
      <c r="J539" s="1786">
        <f>I546</f>
        <v>14.56</v>
      </c>
    </row>
    <row r="540" spans="1:10" ht="24">
      <c r="A540" s="1788" t="s">
        <v>2470</v>
      </c>
      <c r="B540" s="1789" t="s">
        <v>2471</v>
      </c>
      <c r="C540" s="1790" t="s">
        <v>2468</v>
      </c>
      <c r="D540" s="1791" t="s">
        <v>308</v>
      </c>
      <c r="E540" s="1790" t="s">
        <v>202</v>
      </c>
      <c r="F540" s="1792" t="s">
        <v>2472</v>
      </c>
      <c r="G540" s="1790" t="s">
        <v>2473</v>
      </c>
      <c r="H540" s="1793" t="s">
        <v>2474</v>
      </c>
      <c r="I540" s="1794" t="s">
        <v>2475</v>
      </c>
      <c r="J540" s="1795"/>
    </row>
    <row r="541" spans="1:10" ht="36">
      <c r="A541" s="1797" t="s">
        <v>2476</v>
      </c>
      <c r="B541" s="1798" t="s">
        <v>2479</v>
      </c>
      <c r="C541" s="1798">
        <v>39017</v>
      </c>
      <c r="D541" s="1799" t="s">
        <v>2627</v>
      </c>
      <c r="E541" s="1800" t="s">
        <v>2501</v>
      </c>
      <c r="F541" s="1807">
        <v>0.54300000000000004</v>
      </c>
      <c r="G541" s="1801">
        <v>0.22</v>
      </c>
      <c r="H541" s="1802">
        <f>IF(E541="H",G541,TRUNC(G541*(1-$K$7),2))</f>
        <v>0.21</v>
      </c>
      <c r="I541" s="1803">
        <f t="shared" ref="I541:I545" si="65">TRUNC(H541*F541,2)</f>
        <v>0.11</v>
      </c>
      <c r="J541" s="1795"/>
    </row>
    <row r="542" spans="1:10" ht="24">
      <c r="A542" s="1797" t="s">
        <v>2476</v>
      </c>
      <c r="B542" s="1798" t="s">
        <v>2479</v>
      </c>
      <c r="C542" s="1798">
        <v>43132</v>
      </c>
      <c r="D542" s="1799" t="s">
        <v>2628</v>
      </c>
      <c r="E542" s="1800" t="s">
        <v>1383</v>
      </c>
      <c r="F542" s="1807">
        <v>2.5000000000000001E-2</v>
      </c>
      <c r="G542" s="1801">
        <v>24.9</v>
      </c>
      <c r="H542" s="1802">
        <f>IF(E542="H",G542,TRUNC(G542*(1-$K$7),2))</f>
        <v>24.77</v>
      </c>
      <c r="I542" s="1803">
        <f t="shared" si="65"/>
        <v>0.61</v>
      </c>
      <c r="J542" s="1795"/>
    </row>
    <row r="543" spans="1:10" ht="24">
      <c r="A543" s="1797" t="s">
        <v>2476</v>
      </c>
      <c r="B543" s="1798" t="s">
        <v>7</v>
      </c>
      <c r="C543" s="1798">
        <v>88238</v>
      </c>
      <c r="D543" s="1799" t="s">
        <v>1212</v>
      </c>
      <c r="E543" s="1800" t="s">
        <v>411</v>
      </c>
      <c r="F543" s="1807">
        <v>1.0999999999999999E-2</v>
      </c>
      <c r="G543" s="1801">
        <v>19.41</v>
      </c>
      <c r="H543" s="1802">
        <f>IF(E543="H",G543,TRUNC(G543*(1-$K$7),2))</f>
        <v>19.41</v>
      </c>
      <c r="I543" s="1803">
        <f t="shared" si="65"/>
        <v>0.21</v>
      </c>
      <c r="J543" s="1795"/>
    </row>
    <row r="544" spans="1:10">
      <c r="A544" s="1797" t="s">
        <v>2476</v>
      </c>
      <c r="B544" s="1798" t="s">
        <v>7</v>
      </c>
      <c r="C544" s="1798">
        <v>88245</v>
      </c>
      <c r="D544" s="1799" t="s">
        <v>1213</v>
      </c>
      <c r="E544" s="1800" t="s">
        <v>411</v>
      </c>
      <c r="F544" s="1807">
        <v>6.7299999999999999E-2</v>
      </c>
      <c r="G544" s="1801">
        <v>24.44</v>
      </c>
      <c r="H544" s="1802">
        <f>IF(E544="H",G544,TRUNC(G544*(1-$K$7),2))</f>
        <v>24.44</v>
      </c>
      <c r="I544" s="1803">
        <f t="shared" si="65"/>
        <v>1.64</v>
      </c>
      <c r="J544" s="1795"/>
    </row>
    <row r="545" spans="1:10" ht="24">
      <c r="A545" s="1797" t="s">
        <v>2476</v>
      </c>
      <c r="B545" s="1798" t="s">
        <v>7</v>
      </c>
      <c r="C545" s="1798">
        <v>92803</v>
      </c>
      <c r="D545" s="1799" t="s">
        <v>2232</v>
      </c>
      <c r="E545" s="1800" t="s">
        <v>1184</v>
      </c>
      <c r="F545" s="1807">
        <v>1</v>
      </c>
      <c r="G545" s="1801">
        <v>12.06</v>
      </c>
      <c r="H545" s="1802">
        <f>IF(E545="H",G545,TRUNC(G545*(1-$K$7),2))</f>
        <v>11.99</v>
      </c>
      <c r="I545" s="1803">
        <f t="shared" si="65"/>
        <v>11.99</v>
      </c>
      <c r="J545" s="1795"/>
    </row>
    <row r="546" spans="1:10">
      <c r="A546" s="1943" t="s">
        <v>2477</v>
      </c>
      <c r="B546" s="1944"/>
      <c r="C546" s="1944"/>
      <c r="D546" s="1944"/>
      <c r="E546" s="1944"/>
      <c r="F546" s="1944"/>
      <c r="G546" s="1944"/>
      <c r="H546" s="1945"/>
      <c r="I546" s="1805">
        <f>SUM(I541:I545)</f>
        <v>14.56</v>
      </c>
      <c r="J546" s="1795"/>
    </row>
    <row r="547" spans="1:10">
      <c r="A547" s="1929"/>
      <c r="B547" s="1930"/>
      <c r="C547" s="1930"/>
      <c r="D547" s="1930"/>
      <c r="E547" s="1930"/>
      <c r="F547" s="1930"/>
      <c r="G547" s="1930"/>
      <c r="H547" s="1930"/>
      <c r="I547" s="1931"/>
      <c r="J547" s="1795"/>
    </row>
    <row r="548" spans="1:10" ht="24.75" customHeight="1">
      <c r="A548" s="1784">
        <f>'PLANILHA SEM DESON'!B62</f>
        <v>102731</v>
      </c>
      <c r="B548" s="1940" t="str">
        <f>VLOOKUP(A548,'PLANILHA SEM DESON'!$B$17:$D$1700,2,FALSE)</f>
        <v>ARMAÇÃO DE LAJE DE UMA ESTRUTURA CONVENCIONAL DE CONCRETO ARMADO EM UMA EDIFICAÇÃO TÉRREA OU SOBRADO UTILIZANDO AÇO CA-50 DE 12,5 MM - MONTAGEM. AF_12/2015</v>
      </c>
      <c r="C548" s="1941"/>
      <c r="D548" s="1941"/>
      <c r="E548" s="1941"/>
      <c r="F548" s="1941"/>
      <c r="G548" s="1941"/>
      <c r="H548" s="1942"/>
      <c r="I548" s="1785" t="str">
        <f>VLOOKUP(A548,'PLANILHA SEM DESON'!$B$17:$D$1700,3,FALSE)</f>
        <v>Kg</v>
      </c>
      <c r="J548" s="1786">
        <f>I555</f>
        <v>12.33</v>
      </c>
    </row>
    <row r="549" spans="1:10" ht="24">
      <c r="A549" s="1788" t="s">
        <v>2470</v>
      </c>
      <c r="B549" s="1789" t="s">
        <v>2471</v>
      </c>
      <c r="C549" s="1790" t="s">
        <v>2468</v>
      </c>
      <c r="D549" s="1791" t="s">
        <v>308</v>
      </c>
      <c r="E549" s="1790" t="s">
        <v>202</v>
      </c>
      <c r="F549" s="1792" t="s">
        <v>2472</v>
      </c>
      <c r="G549" s="1790" t="s">
        <v>2473</v>
      </c>
      <c r="H549" s="1793" t="s">
        <v>2474</v>
      </c>
      <c r="I549" s="1794" t="s">
        <v>2475</v>
      </c>
      <c r="J549" s="1795"/>
    </row>
    <row r="550" spans="1:10" ht="36">
      <c r="A550" s="1797" t="s">
        <v>2476</v>
      </c>
      <c r="B550" s="1798" t="s">
        <v>2479</v>
      </c>
      <c r="C550" s="1798">
        <v>39017</v>
      </c>
      <c r="D550" s="1799" t="s">
        <v>2627</v>
      </c>
      <c r="E550" s="1800" t="s">
        <v>2501</v>
      </c>
      <c r="F550" s="1807">
        <v>0.36699999999999999</v>
      </c>
      <c r="G550" s="1801">
        <v>0.22</v>
      </c>
      <c r="H550" s="1802">
        <f>IF(E550="H",G550,TRUNC(G550*(1-$K$7),2))</f>
        <v>0.21</v>
      </c>
      <c r="I550" s="1803">
        <f t="shared" ref="I550:I554" si="66">TRUNC(H550*F550,2)</f>
        <v>7.0000000000000007E-2</v>
      </c>
      <c r="J550" s="1795"/>
    </row>
    <row r="551" spans="1:10" ht="24">
      <c r="A551" s="1797" t="s">
        <v>2476</v>
      </c>
      <c r="B551" s="1798" t="s">
        <v>2479</v>
      </c>
      <c r="C551" s="1798">
        <v>43132</v>
      </c>
      <c r="D551" s="1799" t="s">
        <v>2628</v>
      </c>
      <c r="E551" s="1800" t="s">
        <v>1383</v>
      </c>
      <c r="F551" s="1807">
        <v>2.5000000000000001E-2</v>
      </c>
      <c r="G551" s="1801">
        <v>24.9</v>
      </c>
      <c r="H551" s="1802">
        <f>IF(E551="H",G551,TRUNC(G551*(1-$K$7),2))</f>
        <v>24.77</v>
      </c>
      <c r="I551" s="1803">
        <f t="shared" si="66"/>
        <v>0.61</v>
      </c>
      <c r="J551" s="1795"/>
    </row>
    <row r="552" spans="1:10" ht="24">
      <c r="A552" s="1797" t="s">
        <v>2476</v>
      </c>
      <c r="B552" s="1798" t="s">
        <v>7</v>
      </c>
      <c r="C552" s="1798">
        <v>88238</v>
      </c>
      <c r="D552" s="1799" t="s">
        <v>1212</v>
      </c>
      <c r="E552" s="1800" t="s">
        <v>411</v>
      </c>
      <c r="F552" s="1807">
        <v>8.0000000000000002E-3</v>
      </c>
      <c r="G552" s="1801">
        <v>19.41</v>
      </c>
      <c r="H552" s="1802">
        <f>IF(E552="H",G552,TRUNC(G552*(1-$K$7),2))</f>
        <v>19.41</v>
      </c>
      <c r="I552" s="1803">
        <f t="shared" si="66"/>
        <v>0.15</v>
      </c>
      <c r="J552" s="1795"/>
    </row>
    <row r="553" spans="1:10">
      <c r="A553" s="1797" t="s">
        <v>2476</v>
      </c>
      <c r="B553" s="1798" t="s">
        <v>7</v>
      </c>
      <c r="C553" s="1798">
        <v>88245</v>
      </c>
      <c r="D553" s="1799" t="s">
        <v>1213</v>
      </c>
      <c r="E553" s="1800" t="s">
        <v>411</v>
      </c>
      <c r="F553" s="1807">
        <v>4.9200000000000001E-2</v>
      </c>
      <c r="G553" s="1801">
        <v>24.44</v>
      </c>
      <c r="H553" s="1802">
        <f>IF(E553="H",G553,TRUNC(G553*(1-$K$7),2))</f>
        <v>24.44</v>
      </c>
      <c r="I553" s="1803">
        <f t="shared" si="66"/>
        <v>1.2</v>
      </c>
      <c r="J553" s="1795"/>
    </row>
    <row r="554" spans="1:10" ht="24">
      <c r="A554" s="1797" t="s">
        <v>2476</v>
      </c>
      <c r="B554" s="1798" t="s">
        <v>7</v>
      </c>
      <c r="C554" s="1798">
        <v>92804</v>
      </c>
      <c r="D554" s="1799" t="s">
        <v>2630</v>
      </c>
      <c r="E554" s="1800" t="s">
        <v>1184</v>
      </c>
      <c r="F554" s="1807">
        <v>1</v>
      </c>
      <c r="G554" s="1801">
        <v>10.36</v>
      </c>
      <c r="H554" s="1802">
        <f>IF(E554="H",G554,TRUNC(G554*(1-$K$7),2))</f>
        <v>10.3</v>
      </c>
      <c r="I554" s="1803">
        <f t="shared" si="66"/>
        <v>10.3</v>
      </c>
      <c r="J554" s="1795"/>
    </row>
    <row r="555" spans="1:10">
      <c r="A555" s="1943" t="s">
        <v>2477</v>
      </c>
      <c r="B555" s="1944"/>
      <c r="C555" s="1944"/>
      <c r="D555" s="1944"/>
      <c r="E555" s="1944"/>
      <c r="F555" s="1944"/>
      <c r="G555" s="1944"/>
      <c r="H555" s="1945"/>
      <c r="I555" s="1805">
        <f>SUM(I550:I554)</f>
        <v>12.33</v>
      </c>
      <c r="J555" s="1795"/>
    </row>
    <row r="556" spans="1:10">
      <c r="A556" s="1929"/>
      <c r="B556" s="1930"/>
      <c r="C556" s="1930"/>
      <c r="D556" s="1930"/>
      <c r="E556" s="1930"/>
      <c r="F556" s="1930"/>
      <c r="G556" s="1930"/>
      <c r="H556" s="1930"/>
      <c r="I556" s="1931"/>
      <c r="J556" s="1795"/>
    </row>
    <row r="557" spans="1:10" ht="22.5" customHeight="1">
      <c r="A557" s="1784" t="str">
        <f>'PLANILHA SEM DESON'!B64</f>
        <v>COMP ESTR 04</v>
      </c>
      <c r="B557" s="1940" t="str">
        <f>VLOOKUP(A557,'PLANILHA SEM DESON'!$B$17:$D$1700,2,FALSE)</f>
        <v>LAJE TRELIÇADA (TR 10644) COM ENCHIMENTO EM EPS UNIDIRECIONAL B10/40/49</v>
      </c>
      <c r="C557" s="1941"/>
      <c r="D557" s="1941"/>
      <c r="E557" s="1941"/>
      <c r="F557" s="1941"/>
      <c r="G557" s="1941"/>
      <c r="H557" s="1942"/>
      <c r="I557" s="1785" t="str">
        <f>VLOOKUP(A557,'PLANILHA SEM DESON'!$B$17:$D$1700,3,FALSE)</f>
        <v>m²</v>
      </c>
      <c r="J557" s="1786">
        <f>I569</f>
        <v>160.47</v>
      </c>
    </row>
    <row r="558" spans="1:10" ht="24">
      <c r="A558" s="1788" t="s">
        <v>2470</v>
      </c>
      <c r="B558" s="1789" t="s">
        <v>2471</v>
      </c>
      <c r="C558" s="1790" t="s">
        <v>2468</v>
      </c>
      <c r="D558" s="1791" t="s">
        <v>308</v>
      </c>
      <c r="E558" s="1790" t="s">
        <v>202</v>
      </c>
      <c r="F558" s="1792" t="s">
        <v>2472</v>
      </c>
      <c r="G558" s="1790" t="s">
        <v>2473</v>
      </c>
      <c r="H558" s="1793" t="s">
        <v>2474</v>
      </c>
      <c r="I558" s="1794" t="s">
        <v>2475</v>
      </c>
      <c r="J558" s="1795"/>
    </row>
    <row r="559" spans="1:10" ht="24">
      <c r="A559" s="1797" t="s">
        <v>2476</v>
      </c>
      <c r="B559" s="1798"/>
      <c r="C559" s="1798">
        <v>88239</v>
      </c>
      <c r="D559" s="1799" t="s">
        <v>454</v>
      </c>
      <c r="E559" s="1800" t="s">
        <v>57</v>
      </c>
      <c r="F559" s="1806">
        <v>0.16</v>
      </c>
      <c r="G559" s="1808">
        <v>20.55</v>
      </c>
      <c r="H559" s="1802">
        <f t="shared" ref="H559:H568" si="67">IF(E559="H",G559,TRUNC(G559*(1-$K$7),2))</f>
        <v>20.55</v>
      </c>
      <c r="I559" s="1803">
        <f t="shared" ref="I559:I568" si="68">TRUNC(H559*F559,2)</f>
        <v>3.28</v>
      </c>
      <c r="J559" s="1795"/>
    </row>
    <row r="560" spans="1:10" ht="24">
      <c r="A560" s="1797" t="s">
        <v>2476</v>
      </c>
      <c r="B560" s="1798"/>
      <c r="C560" s="1798">
        <v>88262</v>
      </c>
      <c r="D560" s="1799" t="s">
        <v>441</v>
      </c>
      <c r="E560" s="1800" t="s">
        <v>57</v>
      </c>
      <c r="F560" s="1806">
        <v>0.16</v>
      </c>
      <c r="G560" s="1808">
        <v>24.32</v>
      </c>
      <c r="H560" s="1802">
        <f t="shared" si="67"/>
        <v>24.32</v>
      </c>
      <c r="I560" s="1803">
        <f t="shared" si="68"/>
        <v>3.89</v>
      </c>
      <c r="J560" s="1795"/>
    </row>
    <row r="561" spans="1:10">
      <c r="A561" s="1797" t="s">
        <v>2476</v>
      </c>
      <c r="B561" s="1798"/>
      <c r="C561" s="1798">
        <v>88309</v>
      </c>
      <c r="D561" s="1799" t="s">
        <v>103</v>
      </c>
      <c r="E561" s="1800" t="s">
        <v>57</v>
      </c>
      <c r="F561" s="1806">
        <v>0.35</v>
      </c>
      <c r="G561" s="1808">
        <v>24.59</v>
      </c>
      <c r="H561" s="1802">
        <f t="shared" si="67"/>
        <v>24.59</v>
      </c>
      <c r="I561" s="1803">
        <f t="shared" si="68"/>
        <v>8.6</v>
      </c>
      <c r="J561" s="1795"/>
    </row>
    <row r="562" spans="1:10">
      <c r="A562" s="1797" t="s">
        <v>2476</v>
      </c>
      <c r="B562" s="1798"/>
      <c r="C562" s="1798">
        <v>88316</v>
      </c>
      <c r="D562" s="1799" t="s">
        <v>66</v>
      </c>
      <c r="E562" s="1800" t="s">
        <v>57</v>
      </c>
      <c r="F562" s="1806">
        <v>0.35</v>
      </c>
      <c r="G562" s="1808">
        <v>19.45</v>
      </c>
      <c r="H562" s="1802">
        <f t="shared" si="67"/>
        <v>19.45</v>
      </c>
      <c r="I562" s="1803">
        <f t="shared" si="68"/>
        <v>6.8</v>
      </c>
      <c r="J562" s="1795"/>
    </row>
    <row r="563" spans="1:10" ht="36">
      <c r="A563" s="1797" t="s">
        <v>2476</v>
      </c>
      <c r="B563" s="1798"/>
      <c r="C563" s="1798">
        <v>94965</v>
      </c>
      <c r="D563" s="1799" t="s">
        <v>420</v>
      </c>
      <c r="E563" s="1800" t="s">
        <v>47</v>
      </c>
      <c r="F563" s="1811">
        <v>3.3000000000000002E-2</v>
      </c>
      <c r="G563" s="1806">
        <v>568</v>
      </c>
      <c r="H563" s="1802">
        <f t="shared" si="67"/>
        <v>565.1</v>
      </c>
      <c r="I563" s="1803">
        <f t="shared" ref="I563:I565" si="69">TRUNC(H563*F563,2)</f>
        <v>18.64</v>
      </c>
      <c r="J563" s="1795"/>
    </row>
    <row r="564" spans="1:10" ht="36">
      <c r="A564" s="1797" t="s">
        <v>2476</v>
      </c>
      <c r="B564" s="1798"/>
      <c r="C564" s="1798">
        <v>103673</v>
      </c>
      <c r="D564" s="1799" t="s">
        <v>2384</v>
      </c>
      <c r="E564" s="1800" t="s">
        <v>47</v>
      </c>
      <c r="F564" s="1811">
        <v>3.3000000000000002E-2</v>
      </c>
      <c r="G564" s="1806">
        <v>37.31</v>
      </c>
      <c r="H564" s="1802">
        <f t="shared" si="67"/>
        <v>37.11</v>
      </c>
      <c r="I564" s="1803">
        <f t="shared" si="69"/>
        <v>1.22</v>
      </c>
      <c r="J564" s="1795"/>
    </row>
    <row r="565" spans="1:10" ht="36">
      <c r="A565" s="1797" t="s">
        <v>2476</v>
      </c>
      <c r="B565" s="1798"/>
      <c r="C565" s="1798">
        <v>3742</v>
      </c>
      <c r="D565" s="1799" t="s">
        <v>2014</v>
      </c>
      <c r="E565" s="1800" t="s">
        <v>46</v>
      </c>
      <c r="F565" s="1811">
        <v>1</v>
      </c>
      <c r="G565" s="1806">
        <v>110.06</v>
      </c>
      <c r="H565" s="1802">
        <f t="shared" si="67"/>
        <v>109.49</v>
      </c>
      <c r="I565" s="1803">
        <f t="shared" si="69"/>
        <v>109.49</v>
      </c>
      <c r="J565" s="1795"/>
    </row>
    <row r="566" spans="1:10" ht="24">
      <c r="A566" s="1797" t="s">
        <v>2476</v>
      </c>
      <c r="B566" s="1798"/>
      <c r="C566" s="1798">
        <v>4491</v>
      </c>
      <c r="D566" s="1799" t="s">
        <v>1433</v>
      </c>
      <c r="E566" s="1800" t="s">
        <v>54</v>
      </c>
      <c r="F566" s="1811">
        <v>0.28999999999999998</v>
      </c>
      <c r="G566" s="1806">
        <v>11.67</v>
      </c>
      <c r="H566" s="1802">
        <f t="shared" si="67"/>
        <v>11.61</v>
      </c>
      <c r="I566" s="1803">
        <f t="shared" si="68"/>
        <v>3.36</v>
      </c>
      <c r="J566" s="1795"/>
    </row>
    <row r="567" spans="1:10" ht="24">
      <c r="A567" s="1797" t="s">
        <v>2476</v>
      </c>
      <c r="B567" s="1798"/>
      <c r="C567" s="1798">
        <v>5061</v>
      </c>
      <c r="D567" s="1799" t="s">
        <v>1434</v>
      </c>
      <c r="E567" s="1800" t="s">
        <v>100</v>
      </c>
      <c r="F567" s="1811">
        <v>0.03</v>
      </c>
      <c r="G567" s="1806">
        <v>25.45</v>
      </c>
      <c r="H567" s="1802">
        <f t="shared" si="67"/>
        <v>25.32</v>
      </c>
      <c r="I567" s="1803">
        <f t="shared" si="68"/>
        <v>0.75</v>
      </c>
      <c r="J567" s="1795"/>
    </row>
    <row r="568" spans="1:10" ht="36">
      <c r="A568" s="1797" t="s">
        <v>2476</v>
      </c>
      <c r="B568" s="1798"/>
      <c r="C568" s="1798">
        <v>6189</v>
      </c>
      <c r="D568" s="1799" t="s">
        <v>1435</v>
      </c>
      <c r="E568" s="1800" t="s">
        <v>54</v>
      </c>
      <c r="F568" s="1811">
        <v>0.17</v>
      </c>
      <c r="G568" s="1806">
        <v>26.29</v>
      </c>
      <c r="H568" s="1802">
        <f t="shared" si="67"/>
        <v>26.15</v>
      </c>
      <c r="I568" s="1803">
        <f t="shared" si="68"/>
        <v>4.4400000000000004</v>
      </c>
      <c r="J568" s="1795"/>
    </row>
    <row r="569" spans="1:10">
      <c r="A569" s="1943" t="s">
        <v>2477</v>
      </c>
      <c r="B569" s="1944"/>
      <c r="C569" s="1944"/>
      <c r="D569" s="1944"/>
      <c r="E569" s="1944"/>
      <c r="F569" s="1944"/>
      <c r="G569" s="1944"/>
      <c r="H569" s="1945"/>
      <c r="I569" s="1805">
        <f>SUM(I559:I568)</f>
        <v>160.47</v>
      </c>
      <c r="J569" s="1795"/>
    </row>
    <row r="570" spans="1:10">
      <c r="A570" s="1929"/>
      <c r="B570" s="1930"/>
      <c r="C570" s="1930"/>
      <c r="D570" s="1930"/>
      <c r="E570" s="1930"/>
      <c r="F570" s="1930"/>
      <c r="G570" s="1930"/>
      <c r="H570" s="1930"/>
      <c r="I570" s="1931"/>
      <c r="J570" s="1795"/>
    </row>
    <row r="571" spans="1:10" ht="22.5" customHeight="1">
      <c r="A571" s="1784">
        <f>'PLANILHA SEM DESON'!B70</f>
        <v>92431</v>
      </c>
      <c r="B571" s="1940" t="str">
        <f>VLOOKUP(A571,'PLANILHA SEM DESON'!$B$17:$D$1700,2,FALSE)</f>
        <v>MONTAGEM E DESMONTAGEM DE FÔRMA DE PILARES RETANGULARES E ESTRUTURAS SIMILARES COM ÁREA MÉDIA DAS SEÇÕES MAIOR QUE 0,25 M², PÉ-DIREITO SIMPLES, EM CHAPA DE MADEIRA COMPENSADA PLASTIFICADA, 10 UTILIZAÇÕES. AF_1215</v>
      </c>
      <c r="C571" s="1941"/>
      <c r="D571" s="1941"/>
      <c r="E571" s="1941"/>
      <c r="F571" s="1941"/>
      <c r="G571" s="1941"/>
      <c r="H571" s="1942"/>
      <c r="I571" s="1785" t="str">
        <f>VLOOKUP(A571,'PLANILHA SEM DESON'!$B$17:$D$1700,3,FALSE)</f>
        <v>m²</v>
      </c>
      <c r="J571" s="1786">
        <f>I581</f>
        <v>66.34</v>
      </c>
    </row>
    <row r="572" spans="1:10" ht="24">
      <c r="A572" s="1788" t="s">
        <v>2470</v>
      </c>
      <c r="B572" s="1789" t="s">
        <v>2471</v>
      </c>
      <c r="C572" s="1790" t="s">
        <v>2468</v>
      </c>
      <c r="D572" s="1791" t="s">
        <v>308</v>
      </c>
      <c r="E572" s="1790" t="s">
        <v>202</v>
      </c>
      <c r="F572" s="1792" t="s">
        <v>2472</v>
      </c>
      <c r="G572" s="1790" t="s">
        <v>2473</v>
      </c>
      <c r="H572" s="1793" t="s">
        <v>2474</v>
      </c>
      <c r="I572" s="1794" t="s">
        <v>2475</v>
      </c>
      <c r="J572" s="1795"/>
    </row>
    <row r="573" spans="1:10" ht="24">
      <c r="A573" s="1797" t="s">
        <v>2476</v>
      </c>
      <c r="B573" s="1798" t="s">
        <v>2479</v>
      </c>
      <c r="C573" s="1798">
        <v>2692</v>
      </c>
      <c r="D573" s="1799" t="s">
        <v>1730</v>
      </c>
      <c r="E573" s="1800" t="s">
        <v>455</v>
      </c>
      <c r="F573" s="1807">
        <v>4.0000000000000001E-3</v>
      </c>
      <c r="G573" s="1801">
        <v>8.84</v>
      </c>
      <c r="H573" s="1802">
        <f t="shared" ref="H573:H580" si="70">IF(E573="H",G573,TRUNC(G573*(1-$K$7),2))</f>
        <v>8.7899999999999991</v>
      </c>
      <c r="I573" s="1803">
        <f t="shared" ref="I573:I580" si="71">TRUNC(H573*F573,2)</f>
        <v>0.03</v>
      </c>
      <c r="J573" s="1795"/>
    </row>
    <row r="574" spans="1:10" ht="36">
      <c r="A574" s="1797" t="s">
        <v>2476</v>
      </c>
      <c r="B574" s="1798" t="s">
        <v>2479</v>
      </c>
      <c r="C574" s="1798">
        <v>40271</v>
      </c>
      <c r="D574" s="1799" t="s">
        <v>2636</v>
      </c>
      <c r="E574" s="1800" t="s">
        <v>2632</v>
      </c>
      <c r="F574" s="1807">
        <v>0.19600000000000001</v>
      </c>
      <c r="G574" s="1801">
        <v>15.6</v>
      </c>
      <c r="H574" s="1802">
        <f t="shared" si="70"/>
        <v>15.52</v>
      </c>
      <c r="I574" s="1803">
        <f t="shared" si="71"/>
        <v>3.04</v>
      </c>
      <c r="J574" s="1795"/>
    </row>
    <row r="575" spans="1:10" ht="36">
      <c r="A575" s="1797" t="s">
        <v>2476</v>
      </c>
      <c r="B575" s="1798" t="s">
        <v>2479</v>
      </c>
      <c r="C575" s="1798">
        <v>40275</v>
      </c>
      <c r="D575" s="1799" t="s">
        <v>2637</v>
      </c>
      <c r="E575" s="1800" t="s">
        <v>2632</v>
      </c>
      <c r="F575" s="1807">
        <v>0.39300000000000002</v>
      </c>
      <c r="G575" s="1801">
        <v>24</v>
      </c>
      <c r="H575" s="1802">
        <f t="shared" si="70"/>
        <v>23.87</v>
      </c>
      <c r="I575" s="1803">
        <f t="shared" si="71"/>
        <v>9.3800000000000008</v>
      </c>
      <c r="J575" s="1795"/>
    </row>
    <row r="576" spans="1:10" ht="36">
      <c r="A576" s="1797" t="s">
        <v>2476</v>
      </c>
      <c r="B576" s="1798" t="s">
        <v>2479</v>
      </c>
      <c r="C576" s="1798">
        <v>40287</v>
      </c>
      <c r="D576" s="1799" t="s">
        <v>2638</v>
      </c>
      <c r="E576" s="1800" t="s">
        <v>2632</v>
      </c>
      <c r="F576" s="1807">
        <v>0.78500000000000003</v>
      </c>
      <c r="G576" s="1801">
        <v>6</v>
      </c>
      <c r="H576" s="1802">
        <f t="shared" si="70"/>
        <v>5.96</v>
      </c>
      <c r="I576" s="1803">
        <f t="shared" si="71"/>
        <v>4.67</v>
      </c>
      <c r="J576" s="1795"/>
    </row>
    <row r="577" spans="1:10" ht="24">
      <c r="A577" s="1797" t="s">
        <v>2476</v>
      </c>
      <c r="B577" s="1798" t="s">
        <v>2479</v>
      </c>
      <c r="C577" s="1798">
        <v>40304</v>
      </c>
      <c r="D577" s="1799" t="s">
        <v>2618</v>
      </c>
      <c r="E577" s="1800" t="s">
        <v>1184</v>
      </c>
      <c r="F577" s="1807">
        <v>1.9E-2</v>
      </c>
      <c r="G577" s="1801">
        <v>31.95</v>
      </c>
      <c r="H577" s="1802">
        <f t="shared" si="70"/>
        <v>31.78</v>
      </c>
      <c r="I577" s="1803">
        <f t="shared" si="71"/>
        <v>0.6</v>
      </c>
      <c r="J577" s="1795"/>
    </row>
    <row r="578" spans="1:10" ht="24">
      <c r="A578" s="1797" t="s">
        <v>2476</v>
      </c>
      <c r="B578" s="1798" t="s">
        <v>7</v>
      </c>
      <c r="C578" s="1798">
        <v>88239</v>
      </c>
      <c r="D578" s="1799" t="s">
        <v>454</v>
      </c>
      <c r="E578" s="1800" t="s">
        <v>411</v>
      </c>
      <c r="F578" s="1807">
        <v>0.121</v>
      </c>
      <c r="G578" s="1801">
        <v>20.55</v>
      </c>
      <c r="H578" s="1802">
        <f t="shared" si="70"/>
        <v>20.55</v>
      </c>
      <c r="I578" s="1803">
        <f t="shared" ref="I578" si="72">TRUNC(H578*F578,2)</f>
        <v>2.48</v>
      </c>
      <c r="J578" s="1795"/>
    </row>
    <row r="579" spans="1:10" ht="24">
      <c r="A579" s="1797" t="s">
        <v>2476</v>
      </c>
      <c r="B579" s="1798" t="s">
        <v>7</v>
      </c>
      <c r="C579" s="1798">
        <v>88262</v>
      </c>
      <c r="D579" s="1799" t="s">
        <v>441</v>
      </c>
      <c r="E579" s="1800" t="s">
        <v>411</v>
      </c>
      <c r="F579" s="1807">
        <v>0.66100000000000003</v>
      </c>
      <c r="G579" s="1801">
        <v>24.32</v>
      </c>
      <c r="H579" s="1802">
        <f t="shared" si="70"/>
        <v>24.32</v>
      </c>
      <c r="I579" s="1803">
        <f t="shared" si="71"/>
        <v>16.07</v>
      </c>
      <c r="J579" s="1795"/>
    </row>
    <row r="580" spans="1:10" ht="36">
      <c r="A580" s="1797" t="s">
        <v>2476</v>
      </c>
      <c r="B580" s="1798" t="s">
        <v>7</v>
      </c>
      <c r="C580" s="1798">
        <v>92264</v>
      </c>
      <c r="D580" s="1799" t="s">
        <v>2639</v>
      </c>
      <c r="E580" s="1800" t="s">
        <v>1176</v>
      </c>
      <c r="F580" s="1807">
        <v>0.105</v>
      </c>
      <c r="G580" s="1801">
        <v>287.93</v>
      </c>
      <c r="H580" s="1802">
        <f t="shared" si="70"/>
        <v>286.45999999999998</v>
      </c>
      <c r="I580" s="1803">
        <f t="shared" si="71"/>
        <v>30.07</v>
      </c>
      <c r="J580" s="1795"/>
    </row>
    <row r="581" spans="1:10">
      <c r="A581" s="1943" t="s">
        <v>2477</v>
      </c>
      <c r="B581" s="1944"/>
      <c r="C581" s="1944"/>
      <c r="D581" s="1944"/>
      <c r="E581" s="1944"/>
      <c r="F581" s="1944"/>
      <c r="G581" s="1944"/>
      <c r="H581" s="1945"/>
      <c r="I581" s="1805">
        <f>SUM(I573:I580)</f>
        <v>66.34</v>
      </c>
      <c r="J581" s="1795"/>
    </row>
    <row r="582" spans="1:10">
      <c r="A582" s="1929"/>
      <c r="B582" s="1930"/>
      <c r="C582" s="1930"/>
      <c r="D582" s="1930"/>
      <c r="E582" s="1930"/>
      <c r="F582" s="1930"/>
      <c r="G582" s="1930"/>
      <c r="H582" s="1930"/>
      <c r="I582" s="1931"/>
      <c r="J582" s="1795"/>
    </row>
    <row r="583" spans="1:10" ht="25.5" customHeight="1">
      <c r="A583" s="1784">
        <f>'PLANILHA SEM DESON'!B73</f>
        <v>92759</v>
      </c>
      <c r="B583" s="1940" t="str">
        <f>VLOOKUP(A583,'PLANILHA SEM DESON'!$B$17:$D$1700,2,FALSE)</f>
        <v>ARMAÇÃO DE PILAR OU VIGA DE UMA ESTRUTURA CONVENCIONAL DE CONCRETO ARMADO  UTILIZANDO AÇO CA-60 DE 5,0 MM - MONTAGEM. AF_06/2022</v>
      </c>
      <c r="C583" s="1941"/>
      <c r="D583" s="1941"/>
      <c r="E583" s="1941"/>
      <c r="F583" s="1941"/>
      <c r="G583" s="1941"/>
      <c r="H583" s="1942"/>
      <c r="I583" s="1785" t="str">
        <f>VLOOKUP(A583,'PLANILHA SEM DESON'!$B$17:$D$1700,3,FALSE)</f>
        <v>Kg</v>
      </c>
      <c r="J583" s="1786">
        <f>I590</f>
        <v>16.09</v>
      </c>
    </row>
    <row r="584" spans="1:10" ht="24">
      <c r="A584" s="1788" t="s">
        <v>2470</v>
      </c>
      <c r="B584" s="1789" t="s">
        <v>2471</v>
      </c>
      <c r="C584" s="1790" t="s">
        <v>2468</v>
      </c>
      <c r="D584" s="1791" t="s">
        <v>308</v>
      </c>
      <c r="E584" s="1790" t="s">
        <v>202</v>
      </c>
      <c r="F584" s="1792" t="s">
        <v>2472</v>
      </c>
      <c r="G584" s="1790" t="s">
        <v>2473</v>
      </c>
      <c r="H584" s="1793" t="s">
        <v>2474</v>
      </c>
      <c r="I584" s="1794" t="s">
        <v>2475</v>
      </c>
      <c r="J584" s="1795"/>
    </row>
    <row r="585" spans="1:10" ht="36">
      <c r="A585" s="1797" t="s">
        <v>2476</v>
      </c>
      <c r="B585" s="1798" t="s">
        <v>2479</v>
      </c>
      <c r="C585" s="1798">
        <v>39017</v>
      </c>
      <c r="D585" s="1799" t="s">
        <v>2627</v>
      </c>
      <c r="E585" s="1800" t="s">
        <v>2501</v>
      </c>
      <c r="F585" s="1807">
        <v>1.19</v>
      </c>
      <c r="G585" s="1801">
        <v>0.22</v>
      </c>
      <c r="H585" s="1802">
        <f>IF(E585="H",G585,TRUNC(G585*(1-$K$7),2))</f>
        <v>0.21</v>
      </c>
      <c r="I585" s="1803">
        <f t="shared" ref="I585:I589" si="73">TRUNC(H585*F585,2)</f>
        <v>0.24</v>
      </c>
      <c r="J585" s="1795"/>
    </row>
    <row r="586" spans="1:10" ht="24">
      <c r="A586" s="1797" t="s">
        <v>2476</v>
      </c>
      <c r="B586" s="1798" t="s">
        <v>2479</v>
      </c>
      <c r="C586" s="1798">
        <v>43132</v>
      </c>
      <c r="D586" s="1799" t="s">
        <v>2628</v>
      </c>
      <c r="E586" s="1800" t="s">
        <v>1383</v>
      </c>
      <c r="F586" s="1807">
        <v>2.5000000000000001E-2</v>
      </c>
      <c r="G586" s="1801">
        <v>24.9</v>
      </c>
      <c r="H586" s="1802">
        <f>IF(E586="H",G586,TRUNC(G586*(1-$K$7),2))</f>
        <v>24.77</v>
      </c>
      <c r="I586" s="1803">
        <f t="shared" si="73"/>
        <v>0.61</v>
      </c>
      <c r="J586" s="1795"/>
    </row>
    <row r="587" spans="1:10" ht="24">
      <c r="A587" s="1797" t="s">
        <v>2476</v>
      </c>
      <c r="B587" s="1798" t="s">
        <v>7</v>
      </c>
      <c r="C587" s="1798">
        <v>88238</v>
      </c>
      <c r="D587" s="1799" t="s">
        <v>1212</v>
      </c>
      <c r="E587" s="1800" t="s">
        <v>411</v>
      </c>
      <c r="F587" s="1807">
        <v>1.7500000000000002E-2</v>
      </c>
      <c r="G587" s="1801">
        <v>19.41</v>
      </c>
      <c r="H587" s="1802">
        <f>IF(E587="H",G587,TRUNC(G587*(1-$K$7),2))</f>
        <v>19.41</v>
      </c>
      <c r="I587" s="1803">
        <f t="shared" si="73"/>
        <v>0.33</v>
      </c>
      <c r="J587" s="1795"/>
    </row>
    <row r="588" spans="1:10">
      <c r="A588" s="1797" t="s">
        <v>2476</v>
      </c>
      <c r="B588" s="1798" t="s">
        <v>7</v>
      </c>
      <c r="C588" s="1798">
        <v>88245</v>
      </c>
      <c r="D588" s="1799" t="s">
        <v>1213</v>
      </c>
      <c r="E588" s="1800" t="s">
        <v>411</v>
      </c>
      <c r="F588" s="1807">
        <v>0.1069</v>
      </c>
      <c r="G588" s="1801">
        <v>24.44</v>
      </c>
      <c r="H588" s="1802">
        <f>IF(E588="H",G588,TRUNC(G588*(1-$K$7),2))</f>
        <v>24.44</v>
      </c>
      <c r="I588" s="1803">
        <f t="shared" si="73"/>
        <v>2.61</v>
      </c>
      <c r="J588" s="1795"/>
    </row>
    <row r="589" spans="1:10" ht="24">
      <c r="A589" s="1797" t="s">
        <v>2476</v>
      </c>
      <c r="B589" s="1798" t="s">
        <v>7</v>
      </c>
      <c r="C589" s="1798">
        <v>92800</v>
      </c>
      <c r="D589" s="1799" t="s">
        <v>2433</v>
      </c>
      <c r="E589" s="1800" t="s">
        <v>1184</v>
      </c>
      <c r="F589" s="1807">
        <v>1</v>
      </c>
      <c r="G589" s="1801">
        <v>12.37</v>
      </c>
      <c r="H589" s="1802">
        <f>IF(E589="H",G589,TRUNC(G589*(1-$K$7),2))</f>
        <v>12.3</v>
      </c>
      <c r="I589" s="1803">
        <f t="shared" si="73"/>
        <v>12.3</v>
      </c>
      <c r="J589" s="1795"/>
    </row>
    <row r="590" spans="1:10">
      <c r="A590" s="1943" t="s">
        <v>2477</v>
      </c>
      <c r="B590" s="1944"/>
      <c r="C590" s="1944"/>
      <c r="D590" s="1944"/>
      <c r="E590" s="1944"/>
      <c r="F590" s="1944"/>
      <c r="G590" s="1944"/>
      <c r="H590" s="1945"/>
      <c r="I590" s="1805">
        <f>SUM(I585:I589)</f>
        <v>16.09</v>
      </c>
      <c r="J590" s="1795"/>
    </row>
    <row r="591" spans="1:10">
      <c r="A591" s="1929"/>
      <c r="B591" s="1930"/>
      <c r="C591" s="1930"/>
      <c r="D591" s="1930"/>
      <c r="E591" s="1930"/>
      <c r="F591" s="1930"/>
      <c r="G591" s="1930"/>
      <c r="H591" s="1930"/>
      <c r="I591" s="1931"/>
      <c r="J591" s="1795"/>
    </row>
    <row r="592" spans="1:10" ht="26.25" customHeight="1">
      <c r="A592" s="1784">
        <f>'PLANILHA SEM DESON'!B76</f>
        <v>92764</v>
      </c>
      <c r="B592" s="1940" t="str">
        <f>VLOOKUP(A592,'PLANILHA SEM DESON'!$B$17:$D$1700,2,FALSE)</f>
        <v>ARMAÇÃO DE PILAR OU VIGA DE ESTRUTURA CONVENCIONAL DE CONCRETO ARMADO UTILIZANDO AÇO CA-50 DE 16,0 MM - MONTAGEM. AF_06/2022</v>
      </c>
      <c r="C592" s="1941"/>
      <c r="D592" s="1941"/>
      <c r="E592" s="1941"/>
      <c r="F592" s="1941"/>
      <c r="G592" s="1941"/>
      <c r="H592" s="1942"/>
      <c r="I592" s="1785" t="str">
        <f>VLOOKUP(A592,'PLANILHA SEM DESON'!$B$17:$D$1700,3,FALSE)</f>
        <v>Kg</v>
      </c>
      <c r="J592" s="1786">
        <f>I599</f>
        <v>11.42</v>
      </c>
    </row>
    <row r="593" spans="1:10" ht="24">
      <c r="A593" s="1788" t="s">
        <v>2470</v>
      </c>
      <c r="B593" s="1789" t="s">
        <v>2471</v>
      </c>
      <c r="C593" s="1790" t="s">
        <v>2468</v>
      </c>
      <c r="D593" s="1791" t="s">
        <v>308</v>
      </c>
      <c r="E593" s="1790" t="s">
        <v>202</v>
      </c>
      <c r="F593" s="1792" t="s">
        <v>2472</v>
      </c>
      <c r="G593" s="1790" t="s">
        <v>2473</v>
      </c>
      <c r="H593" s="1793" t="s">
        <v>2474</v>
      </c>
      <c r="I593" s="1794" t="s">
        <v>2475</v>
      </c>
      <c r="J593" s="1795"/>
    </row>
    <row r="594" spans="1:10" ht="36">
      <c r="A594" s="1797" t="s">
        <v>2476</v>
      </c>
      <c r="B594" s="1798" t="s">
        <v>2479</v>
      </c>
      <c r="C594" s="1798">
        <v>39017</v>
      </c>
      <c r="D594" s="1799" t="s">
        <v>2627</v>
      </c>
      <c r="E594" s="1800" t="s">
        <v>2501</v>
      </c>
      <c r="F594" s="1807">
        <v>0.21199999999999999</v>
      </c>
      <c r="G594" s="1801">
        <v>0.22</v>
      </c>
      <c r="H594" s="1802">
        <f>IF(E594="H",G594,TRUNC(G594*(1-$K$7),2))</f>
        <v>0.21</v>
      </c>
      <c r="I594" s="1803">
        <f t="shared" ref="I594:I598" si="74">TRUNC(H594*F594,2)</f>
        <v>0.04</v>
      </c>
      <c r="J594" s="1795"/>
    </row>
    <row r="595" spans="1:10" ht="24">
      <c r="A595" s="1797" t="s">
        <v>2476</v>
      </c>
      <c r="B595" s="1798" t="s">
        <v>2479</v>
      </c>
      <c r="C595" s="1798">
        <v>43132</v>
      </c>
      <c r="D595" s="1799" t="s">
        <v>2628</v>
      </c>
      <c r="E595" s="1800" t="s">
        <v>1383</v>
      </c>
      <c r="F595" s="1807">
        <v>2.5000000000000001E-2</v>
      </c>
      <c r="G595" s="1801">
        <v>24.9</v>
      </c>
      <c r="H595" s="1802">
        <f>IF(E595="H",G595,TRUNC(G595*(1-$K$7),2))</f>
        <v>24.77</v>
      </c>
      <c r="I595" s="1803">
        <f t="shared" si="74"/>
        <v>0.61</v>
      </c>
      <c r="J595" s="1795"/>
    </row>
    <row r="596" spans="1:10" ht="24">
      <c r="A596" s="1797" t="s">
        <v>2476</v>
      </c>
      <c r="B596" s="1798" t="s">
        <v>7</v>
      </c>
      <c r="C596" s="1798">
        <v>88238</v>
      </c>
      <c r="D596" s="1799" t="s">
        <v>1212</v>
      </c>
      <c r="E596" s="1800" t="s">
        <v>411</v>
      </c>
      <c r="F596" s="1807">
        <v>3.2000000000000002E-3</v>
      </c>
      <c r="G596" s="1801">
        <v>19.41</v>
      </c>
      <c r="H596" s="1802">
        <f>IF(E596="H",G596,TRUNC(G596*(1-$K$7),2))</f>
        <v>19.41</v>
      </c>
      <c r="I596" s="1803">
        <f t="shared" si="74"/>
        <v>0.06</v>
      </c>
      <c r="J596" s="1795"/>
    </row>
    <row r="597" spans="1:10">
      <c r="A597" s="1797" t="s">
        <v>2476</v>
      </c>
      <c r="B597" s="1798" t="s">
        <v>7</v>
      </c>
      <c r="C597" s="1798">
        <v>88245</v>
      </c>
      <c r="D597" s="1799" t="s">
        <v>1213</v>
      </c>
      <c r="E597" s="1800" t="s">
        <v>411</v>
      </c>
      <c r="F597" s="1807">
        <v>1.9400000000000001E-2</v>
      </c>
      <c r="G597" s="1801">
        <v>24.44</v>
      </c>
      <c r="H597" s="1802">
        <f>IF(E597="H",G597,TRUNC(G597*(1-$K$7),2))</f>
        <v>24.44</v>
      </c>
      <c r="I597" s="1803">
        <f t="shared" si="74"/>
        <v>0.47</v>
      </c>
      <c r="J597" s="1795"/>
    </row>
    <row r="598" spans="1:10" ht="24">
      <c r="A598" s="1797" t="s">
        <v>2476</v>
      </c>
      <c r="B598" s="1798" t="s">
        <v>7</v>
      </c>
      <c r="C598" s="1798">
        <v>92805</v>
      </c>
      <c r="D598" s="1799" t="s">
        <v>2640</v>
      </c>
      <c r="E598" s="1800" t="s">
        <v>1184</v>
      </c>
      <c r="F598" s="1807">
        <v>1</v>
      </c>
      <c r="G598" s="1801">
        <v>10.3</v>
      </c>
      <c r="H598" s="1802">
        <f>IF(E598="H",G598,TRUNC(G598*(1-$K$7),2))</f>
        <v>10.24</v>
      </c>
      <c r="I598" s="1803">
        <f t="shared" si="74"/>
        <v>10.24</v>
      </c>
      <c r="J598" s="1795"/>
    </row>
    <row r="599" spans="1:10">
      <c r="A599" s="1943" t="s">
        <v>2477</v>
      </c>
      <c r="B599" s="1944"/>
      <c r="C599" s="1944"/>
      <c r="D599" s="1944"/>
      <c r="E599" s="1944"/>
      <c r="F599" s="1944"/>
      <c r="G599" s="1944"/>
      <c r="H599" s="1945"/>
      <c r="I599" s="1805">
        <f>SUM(I594:I598)</f>
        <v>11.42</v>
      </c>
      <c r="J599" s="1795"/>
    </row>
    <row r="600" spans="1:10">
      <c r="A600" s="1929"/>
      <c r="B600" s="1930"/>
      <c r="C600" s="1930"/>
      <c r="D600" s="1930"/>
      <c r="E600" s="1930"/>
      <c r="F600" s="1930"/>
      <c r="G600" s="1930"/>
      <c r="H600" s="1930"/>
      <c r="I600" s="1931"/>
      <c r="J600" s="1795"/>
    </row>
    <row r="601" spans="1:10" ht="21.75" customHeight="1">
      <c r="A601" s="1784">
        <f>'PLANILHA SEM DESON'!B78</f>
        <v>92479</v>
      </c>
      <c r="B601" s="1940" t="str">
        <f>VLOOKUP(A601,'PLANILHA SEM DESON'!$B$17:$D$1700,2,FALSE)</f>
        <v>MONTAGEM E DESMONTAGEM DE FÔRMA DE VIGA, ESCORAMENTO COM GARFO DE MADEIRA, PÉ-DIREITO SIMPLES, EM CHAPA DE MADEIRA PLASTIFICADA, 18 UTILIZAÇÕES. AF_12/2015</v>
      </c>
      <c r="C601" s="1941"/>
      <c r="D601" s="1941"/>
      <c r="E601" s="1941"/>
      <c r="F601" s="1941"/>
      <c r="G601" s="1941"/>
      <c r="H601" s="1942"/>
      <c r="I601" s="1785" t="str">
        <f>VLOOKUP(A601,'PLANILHA SEM DESON'!$B$17:$D$1700,3,FALSE)</f>
        <v>m²</v>
      </c>
      <c r="J601" s="1786">
        <f>I610</f>
        <v>80.14</v>
      </c>
    </row>
    <row r="602" spans="1:10" ht="24">
      <c r="A602" s="1788" t="s">
        <v>2470</v>
      </c>
      <c r="B602" s="1789" t="s">
        <v>2471</v>
      </c>
      <c r="C602" s="1790" t="s">
        <v>2468</v>
      </c>
      <c r="D602" s="1791" t="s">
        <v>308</v>
      </c>
      <c r="E602" s="1790" t="s">
        <v>202</v>
      </c>
      <c r="F602" s="1792" t="s">
        <v>2472</v>
      </c>
      <c r="G602" s="1790" t="s">
        <v>2473</v>
      </c>
      <c r="H602" s="1793" t="s">
        <v>2474</v>
      </c>
      <c r="I602" s="1794" t="s">
        <v>2475</v>
      </c>
      <c r="J602" s="1795"/>
    </row>
    <row r="603" spans="1:10" ht="24">
      <c r="A603" s="1797" t="s">
        <v>2476</v>
      </c>
      <c r="B603" s="1798" t="s">
        <v>2479</v>
      </c>
      <c r="C603" s="1798">
        <v>2692</v>
      </c>
      <c r="D603" s="1799" t="s">
        <v>1730</v>
      </c>
      <c r="E603" s="1800" t="s">
        <v>455</v>
      </c>
      <c r="F603" s="1807">
        <v>4.0000000000000001E-3</v>
      </c>
      <c r="G603" s="1801">
        <v>8.84</v>
      </c>
      <c r="H603" s="1802">
        <f t="shared" ref="H603:H609" si="75">IF(E603="H",G603,TRUNC(G603*(1-$K$7),2))</f>
        <v>8.7899999999999991</v>
      </c>
      <c r="I603" s="1803">
        <f t="shared" ref="I603:I609" si="76">TRUNC(H603*F603,2)</f>
        <v>0.03</v>
      </c>
      <c r="J603" s="1795"/>
    </row>
    <row r="604" spans="1:10" ht="36">
      <c r="A604" s="1797" t="s">
        <v>2476</v>
      </c>
      <c r="B604" s="1798" t="s">
        <v>2479</v>
      </c>
      <c r="C604" s="1798">
        <v>6193</v>
      </c>
      <c r="D604" s="1799" t="s">
        <v>2573</v>
      </c>
      <c r="E604" s="1800" t="s">
        <v>160</v>
      </c>
      <c r="F604" s="1807">
        <v>0.32800000000000001</v>
      </c>
      <c r="G604" s="1801">
        <v>18.010000000000002</v>
      </c>
      <c r="H604" s="1802">
        <f t="shared" si="75"/>
        <v>17.91</v>
      </c>
      <c r="I604" s="1803">
        <f t="shared" si="76"/>
        <v>5.87</v>
      </c>
      <c r="J604" s="1795"/>
    </row>
    <row r="605" spans="1:10" ht="24">
      <c r="A605" s="1797" t="s">
        <v>2476</v>
      </c>
      <c r="B605" s="1798" t="s">
        <v>2479</v>
      </c>
      <c r="C605" s="1798">
        <v>40304</v>
      </c>
      <c r="D605" s="1799" t="s">
        <v>2618</v>
      </c>
      <c r="E605" s="1800" t="s">
        <v>1184</v>
      </c>
      <c r="F605" s="1807">
        <v>4.9000000000000002E-2</v>
      </c>
      <c r="G605" s="1801">
        <v>31.95</v>
      </c>
      <c r="H605" s="1802">
        <f t="shared" si="75"/>
        <v>31.78</v>
      </c>
      <c r="I605" s="1803">
        <f t="shared" si="76"/>
        <v>1.55</v>
      </c>
      <c r="J605" s="1795"/>
    </row>
    <row r="606" spans="1:10" ht="24">
      <c r="A606" s="1797" t="s">
        <v>2476</v>
      </c>
      <c r="B606" s="1798" t="s">
        <v>7</v>
      </c>
      <c r="C606" s="1798">
        <v>88239</v>
      </c>
      <c r="D606" s="1799" t="s">
        <v>454</v>
      </c>
      <c r="E606" s="1800" t="s">
        <v>411</v>
      </c>
      <c r="F606" s="1807">
        <v>0.109</v>
      </c>
      <c r="G606" s="1801">
        <v>20.55</v>
      </c>
      <c r="H606" s="1802">
        <f t="shared" si="75"/>
        <v>20.55</v>
      </c>
      <c r="I606" s="1803">
        <f t="shared" si="76"/>
        <v>2.23</v>
      </c>
      <c r="J606" s="1795"/>
    </row>
    <row r="607" spans="1:10" ht="24">
      <c r="A607" s="1797" t="s">
        <v>2476</v>
      </c>
      <c r="B607" s="1798" t="s">
        <v>7</v>
      </c>
      <c r="C607" s="1798">
        <v>88262</v>
      </c>
      <c r="D607" s="1799" t="s">
        <v>441</v>
      </c>
      <c r="E607" s="1800" t="s">
        <v>411</v>
      </c>
      <c r="F607" s="1807">
        <v>0.59599999999999997</v>
      </c>
      <c r="G607" s="1801">
        <v>24.32</v>
      </c>
      <c r="H607" s="1802">
        <f t="shared" si="75"/>
        <v>24.32</v>
      </c>
      <c r="I607" s="1803">
        <f t="shared" si="76"/>
        <v>14.49</v>
      </c>
      <c r="J607" s="1795"/>
    </row>
    <row r="608" spans="1:10" ht="36">
      <c r="A608" s="1797" t="s">
        <v>2476</v>
      </c>
      <c r="B608" s="1798" t="s">
        <v>7</v>
      </c>
      <c r="C608" s="1798">
        <v>92266</v>
      </c>
      <c r="D608" s="1799" t="s">
        <v>2641</v>
      </c>
      <c r="E608" s="1800" t="s">
        <v>1176</v>
      </c>
      <c r="F608" s="1807">
        <v>0.105</v>
      </c>
      <c r="G608" s="1801">
        <v>218.9</v>
      </c>
      <c r="H608" s="1802">
        <f t="shared" si="75"/>
        <v>217.78</v>
      </c>
      <c r="I608" s="1803">
        <f t="shared" si="76"/>
        <v>22.86</v>
      </c>
      <c r="J608" s="1795"/>
    </row>
    <row r="609" spans="1:10" ht="24">
      <c r="A609" s="1797" t="s">
        <v>2476</v>
      </c>
      <c r="B609" s="1798" t="s">
        <v>7</v>
      </c>
      <c r="C609" s="1798">
        <v>92272</v>
      </c>
      <c r="D609" s="1799" t="s">
        <v>2642</v>
      </c>
      <c r="E609" s="1800" t="s">
        <v>160</v>
      </c>
      <c r="F609" s="1807">
        <v>0.65900000000000003</v>
      </c>
      <c r="G609" s="1801">
        <v>50.51</v>
      </c>
      <c r="H609" s="1802">
        <f t="shared" si="75"/>
        <v>50.25</v>
      </c>
      <c r="I609" s="1803">
        <f t="shared" si="76"/>
        <v>33.11</v>
      </c>
      <c r="J609" s="1795"/>
    </row>
    <row r="610" spans="1:10">
      <c r="A610" s="1943" t="s">
        <v>2477</v>
      </c>
      <c r="B610" s="1944"/>
      <c r="C610" s="1944"/>
      <c r="D610" s="1944"/>
      <c r="E610" s="1944"/>
      <c r="F610" s="1944"/>
      <c r="G610" s="1944"/>
      <c r="H610" s="1945"/>
      <c r="I610" s="1805">
        <f>SUM(I603:I609)</f>
        <v>80.14</v>
      </c>
      <c r="J610" s="1795"/>
    </row>
    <row r="611" spans="1:10">
      <c r="A611" s="1929"/>
      <c r="B611" s="1930"/>
      <c r="C611" s="1930"/>
      <c r="D611" s="1930"/>
      <c r="E611" s="1930"/>
      <c r="F611" s="1930"/>
      <c r="G611" s="1930"/>
      <c r="H611" s="1930"/>
      <c r="I611" s="1931"/>
      <c r="J611" s="1795"/>
    </row>
    <row r="612" spans="1:10" ht="22.5" customHeight="1">
      <c r="A612" s="1784">
        <f>'PLANILHA SEM DESON'!B82</f>
        <v>92760</v>
      </c>
      <c r="B612" s="1940" t="str">
        <f>VLOOKUP(A612,'PLANILHA SEM DESON'!$B$17:$D$1700,2,FALSE)</f>
        <v>ARMAÇÃO DE PILAR OU VIGA DE ESTRUTURA CONVENCIONAL DE CONCRETO ARMADO UTILIZANDO AÇO CA-50 DE 6,3 MM - MONTAGEM. AF_06/2022</v>
      </c>
      <c r="C612" s="1941"/>
      <c r="D612" s="1941"/>
      <c r="E612" s="1941"/>
      <c r="F612" s="1941"/>
      <c r="G612" s="1941"/>
      <c r="H612" s="1942"/>
      <c r="I612" s="1785" t="str">
        <f>VLOOKUP(A612,'PLANILHA SEM DESON'!$B$17:$D$1700,3,FALSE)</f>
        <v>Kg</v>
      </c>
      <c r="J612" s="1786">
        <f>I619</f>
        <v>15.78</v>
      </c>
    </row>
    <row r="613" spans="1:10" ht="24">
      <c r="A613" s="1788" t="s">
        <v>2470</v>
      </c>
      <c r="B613" s="1789" t="s">
        <v>2471</v>
      </c>
      <c r="C613" s="1790" t="s">
        <v>2468</v>
      </c>
      <c r="D613" s="1791" t="s">
        <v>308</v>
      </c>
      <c r="E613" s="1790" t="s">
        <v>202</v>
      </c>
      <c r="F613" s="1792" t="s">
        <v>2472</v>
      </c>
      <c r="G613" s="1790" t="s">
        <v>2473</v>
      </c>
      <c r="H613" s="1793" t="s">
        <v>2474</v>
      </c>
      <c r="I613" s="1794" t="s">
        <v>2475</v>
      </c>
      <c r="J613" s="1795"/>
    </row>
    <row r="614" spans="1:10" ht="36">
      <c r="A614" s="1797" t="s">
        <v>2476</v>
      </c>
      <c r="B614" s="1798" t="s">
        <v>2479</v>
      </c>
      <c r="C614" s="1798">
        <v>39017</v>
      </c>
      <c r="D614" s="1799" t="s">
        <v>2627</v>
      </c>
      <c r="E614" s="1800" t="s">
        <v>2501</v>
      </c>
      <c r="F614" s="1807">
        <v>0.97</v>
      </c>
      <c r="G614" s="1801">
        <v>0.22</v>
      </c>
      <c r="H614" s="1802">
        <f>IF(E614="H",G614,TRUNC(G614*(1-$K$7),2))</f>
        <v>0.21</v>
      </c>
      <c r="I614" s="1803">
        <f t="shared" ref="I614:I618" si="77">TRUNC(H614*F614,2)</f>
        <v>0.2</v>
      </c>
      <c r="J614" s="1795"/>
    </row>
    <row r="615" spans="1:10" ht="24">
      <c r="A615" s="1797" t="s">
        <v>2476</v>
      </c>
      <c r="B615" s="1798" t="s">
        <v>2479</v>
      </c>
      <c r="C615" s="1798">
        <v>43132</v>
      </c>
      <c r="D615" s="1799" t="s">
        <v>2628</v>
      </c>
      <c r="E615" s="1800" t="s">
        <v>1383</v>
      </c>
      <c r="F615" s="1807">
        <v>2.5000000000000001E-2</v>
      </c>
      <c r="G615" s="1801">
        <v>24.9</v>
      </c>
      <c r="H615" s="1802">
        <f>IF(E615="H",G615,TRUNC(G615*(1-$K$7),2))</f>
        <v>24.77</v>
      </c>
      <c r="I615" s="1803">
        <f t="shared" si="77"/>
        <v>0.61</v>
      </c>
      <c r="J615" s="1795"/>
    </row>
    <row r="616" spans="1:10" ht="24">
      <c r="A616" s="1797" t="s">
        <v>2476</v>
      </c>
      <c r="B616" s="1798" t="s">
        <v>7</v>
      </c>
      <c r="C616" s="1798">
        <v>88238</v>
      </c>
      <c r="D616" s="1799" t="s">
        <v>1212</v>
      </c>
      <c r="E616" s="1800" t="s">
        <v>411</v>
      </c>
      <c r="F616" s="1807">
        <v>1.29E-2</v>
      </c>
      <c r="G616" s="1801">
        <v>19.41</v>
      </c>
      <c r="H616" s="1802">
        <f>IF(E616="H",G616,TRUNC(G616*(1-$K$7),2))</f>
        <v>19.41</v>
      </c>
      <c r="I616" s="1803">
        <f t="shared" si="77"/>
        <v>0.25</v>
      </c>
      <c r="J616" s="1795"/>
    </row>
    <row r="617" spans="1:10">
      <c r="A617" s="1797" t="s">
        <v>2476</v>
      </c>
      <c r="B617" s="1798" t="s">
        <v>7</v>
      </c>
      <c r="C617" s="1798">
        <v>88245</v>
      </c>
      <c r="D617" s="1799" t="s">
        <v>1213</v>
      </c>
      <c r="E617" s="1800" t="s">
        <v>411</v>
      </c>
      <c r="F617" s="1807">
        <v>7.9000000000000001E-2</v>
      </c>
      <c r="G617" s="1801">
        <v>24.44</v>
      </c>
      <c r="H617" s="1802">
        <f>IF(E617="H",G617,TRUNC(G617*(1-$K$7),2))</f>
        <v>24.44</v>
      </c>
      <c r="I617" s="1803">
        <f t="shared" si="77"/>
        <v>1.93</v>
      </c>
      <c r="J617" s="1795"/>
    </row>
    <row r="618" spans="1:10" ht="24">
      <c r="A618" s="1797" t="s">
        <v>2476</v>
      </c>
      <c r="B618" s="1798" t="s">
        <v>7</v>
      </c>
      <c r="C618" s="1798">
        <v>92801</v>
      </c>
      <c r="D618" s="1799" t="s">
        <v>2635</v>
      </c>
      <c r="E618" s="1800" t="s">
        <v>1184</v>
      </c>
      <c r="F618" s="1807">
        <v>1</v>
      </c>
      <c r="G618" s="1801">
        <v>12.86</v>
      </c>
      <c r="H618" s="1802">
        <f>IF(E618="H",G618,TRUNC(G618*(1-$K$7),2))</f>
        <v>12.79</v>
      </c>
      <c r="I618" s="1803">
        <f t="shared" si="77"/>
        <v>12.79</v>
      </c>
      <c r="J618" s="1795"/>
    </row>
    <row r="619" spans="1:10">
      <c r="A619" s="1943" t="s">
        <v>2477</v>
      </c>
      <c r="B619" s="1944"/>
      <c r="C619" s="1944"/>
      <c r="D619" s="1944"/>
      <c r="E619" s="1944"/>
      <c r="F619" s="1944"/>
      <c r="G619" s="1944"/>
      <c r="H619" s="1945"/>
      <c r="I619" s="1805">
        <f>SUM(I614:I618)</f>
        <v>15.78</v>
      </c>
      <c r="J619" s="1795"/>
    </row>
    <row r="620" spans="1:10">
      <c r="A620" s="1929"/>
      <c r="B620" s="1930"/>
      <c r="C620" s="1930"/>
      <c r="D620" s="1930"/>
      <c r="E620" s="1930"/>
      <c r="F620" s="1930"/>
      <c r="G620" s="1930"/>
      <c r="H620" s="1930"/>
      <c r="I620" s="1931"/>
      <c r="J620" s="1795"/>
    </row>
    <row r="621" spans="1:10" ht="20.25" customHeight="1">
      <c r="A621" s="1784">
        <f>'PLANILHA SEM DESON'!B87</f>
        <v>92765</v>
      </c>
      <c r="B621" s="1940" t="str">
        <f>VLOOKUP(A621,'PLANILHA SEM DESON'!$B$17:$D$1700,2,FALSE)</f>
        <v>ARMAÇÃO DE PILAR OU VIGA DE ESTRUTURA CONVENCIONAL DE CONCRETO ARMADO UTILIZANDO AÇO CA-50 DE 20,0 MM - MONTAGEM. AF_06/2022</v>
      </c>
      <c r="C621" s="1941"/>
      <c r="D621" s="1941"/>
      <c r="E621" s="1941"/>
      <c r="F621" s="1941"/>
      <c r="G621" s="1941"/>
      <c r="H621" s="1942"/>
      <c r="I621" s="1785" t="str">
        <f>VLOOKUP(A621,'PLANILHA SEM DESON'!$B$17:$D$1700,3,FALSE)</f>
        <v>Kg</v>
      </c>
      <c r="J621" s="1786">
        <f>I628</f>
        <v>13.120000000000001</v>
      </c>
    </row>
    <row r="622" spans="1:10" ht="24">
      <c r="A622" s="1788" t="s">
        <v>2470</v>
      </c>
      <c r="B622" s="1789" t="s">
        <v>2471</v>
      </c>
      <c r="C622" s="1790" t="s">
        <v>2468</v>
      </c>
      <c r="D622" s="1791" t="s">
        <v>308</v>
      </c>
      <c r="E622" s="1790" t="s">
        <v>202</v>
      </c>
      <c r="F622" s="1792" t="s">
        <v>2472</v>
      </c>
      <c r="G622" s="1790" t="s">
        <v>2473</v>
      </c>
      <c r="H622" s="1793" t="s">
        <v>2474</v>
      </c>
      <c r="I622" s="1794" t="s">
        <v>2475</v>
      </c>
      <c r="J622" s="1795"/>
    </row>
    <row r="623" spans="1:10" ht="36">
      <c r="A623" s="1797" t="s">
        <v>2476</v>
      </c>
      <c r="B623" s="1798" t="s">
        <v>2479</v>
      </c>
      <c r="C623" s="1798">
        <v>39017</v>
      </c>
      <c r="D623" s="1799" t="s">
        <v>2627</v>
      </c>
      <c r="E623" s="1800" t="s">
        <v>2501</v>
      </c>
      <c r="F623" s="1807">
        <v>0.113</v>
      </c>
      <c r="G623" s="1801">
        <v>0.22</v>
      </c>
      <c r="H623" s="1802">
        <f>IF(E623="H",G623,TRUNC(G623*(1-$K$7),2))</f>
        <v>0.21</v>
      </c>
      <c r="I623" s="1803">
        <f t="shared" ref="I623:I627" si="78">TRUNC(H623*F623,2)</f>
        <v>0.02</v>
      </c>
      <c r="J623" s="1795"/>
    </row>
    <row r="624" spans="1:10" ht="24">
      <c r="A624" s="1797" t="s">
        <v>2476</v>
      </c>
      <c r="B624" s="1798" t="s">
        <v>2479</v>
      </c>
      <c r="C624" s="1798">
        <v>43132</v>
      </c>
      <c r="D624" s="1799" t="s">
        <v>2628</v>
      </c>
      <c r="E624" s="1800" t="s">
        <v>1383</v>
      </c>
      <c r="F624" s="1807">
        <v>2.5000000000000001E-2</v>
      </c>
      <c r="G624" s="1801">
        <v>24.9</v>
      </c>
      <c r="H624" s="1802">
        <f>IF(E624="H",G624,TRUNC(G624*(1-$K$7),2))</f>
        <v>24.77</v>
      </c>
      <c r="I624" s="1803">
        <f t="shared" si="78"/>
        <v>0.61</v>
      </c>
      <c r="J624" s="1795"/>
    </row>
    <row r="625" spans="1:10" ht="24">
      <c r="A625" s="1797" t="s">
        <v>2476</v>
      </c>
      <c r="B625" s="1798" t="s">
        <v>7</v>
      </c>
      <c r="C625" s="1798">
        <v>88238</v>
      </c>
      <c r="D625" s="1799" t="s">
        <v>1212</v>
      </c>
      <c r="E625" s="1800" t="s">
        <v>411</v>
      </c>
      <c r="F625" s="1807">
        <v>2.5000000000000001E-3</v>
      </c>
      <c r="G625" s="1801">
        <v>19.41</v>
      </c>
      <c r="H625" s="1802">
        <f>IF(E625="H",G625,TRUNC(G625*(1-$K$7),2))</f>
        <v>19.41</v>
      </c>
      <c r="I625" s="1803">
        <f t="shared" si="78"/>
        <v>0.04</v>
      </c>
      <c r="J625" s="1795"/>
    </row>
    <row r="626" spans="1:10">
      <c r="A626" s="1797" t="s">
        <v>2476</v>
      </c>
      <c r="B626" s="1798" t="s">
        <v>7</v>
      </c>
      <c r="C626" s="1798">
        <v>88245</v>
      </c>
      <c r="D626" s="1799" t="s">
        <v>1213</v>
      </c>
      <c r="E626" s="1800" t="s">
        <v>411</v>
      </c>
      <c r="F626" s="1807">
        <v>1.52E-2</v>
      </c>
      <c r="G626" s="1801">
        <v>24.44</v>
      </c>
      <c r="H626" s="1802">
        <f>IF(E626="H",G626,TRUNC(G626*(1-$K$7),2))</f>
        <v>24.44</v>
      </c>
      <c r="I626" s="1803">
        <f t="shared" si="78"/>
        <v>0.37</v>
      </c>
      <c r="J626" s="1795"/>
    </row>
    <row r="627" spans="1:10" ht="24">
      <c r="A627" s="1797" t="s">
        <v>2476</v>
      </c>
      <c r="B627" s="1798" t="s">
        <v>7</v>
      </c>
      <c r="C627" s="1798">
        <v>92806</v>
      </c>
      <c r="D627" s="1799" t="s">
        <v>2643</v>
      </c>
      <c r="E627" s="1800" t="s">
        <v>1184</v>
      </c>
      <c r="F627" s="1807">
        <v>1</v>
      </c>
      <c r="G627" s="1801">
        <v>12.15</v>
      </c>
      <c r="H627" s="1802">
        <f>IF(E627="H",G627,TRUNC(G627*(1-$K$7),2))</f>
        <v>12.08</v>
      </c>
      <c r="I627" s="1803">
        <f t="shared" si="78"/>
        <v>12.08</v>
      </c>
      <c r="J627" s="1795"/>
    </row>
    <row r="628" spans="1:10">
      <c r="A628" s="1943" t="s">
        <v>2477</v>
      </c>
      <c r="B628" s="1944"/>
      <c r="C628" s="1944"/>
      <c r="D628" s="1944"/>
      <c r="E628" s="1944"/>
      <c r="F628" s="1944"/>
      <c r="G628" s="1944"/>
      <c r="H628" s="1945"/>
      <c r="I628" s="1805">
        <f>SUM(I623:I627)</f>
        <v>13.120000000000001</v>
      </c>
      <c r="J628" s="1795"/>
    </row>
    <row r="629" spans="1:10">
      <c r="A629" s="1929"/>
      <c r="B629" s="1930"/>
      <c r="C629" s="1930"/>
      <c r="D629" s="1930"/>
      <c r="E629" s="1930"/>
      <c r="F629" s="1930"/>
      <c r="G629" s="1930"/>
      <c r="H629" s="1930"/>
      <c r="I629" s="1931"/>
      <c r="J629" s="1795"/>
    </row>
    <row r="630" spans="1:10" ht="22.5" customHeight="1">
      <c r="A630" s="1784">
        <f>'PLANILHA SEM DESON'!B96</f>
        <v>103332</v>
      </c>
      <c r="B630" s="1940" t="str">
        <f>VLOOKUP(A630,'PLANILHA SEM DESON'!$B$17:$D$1700,2,FALSE)</f>
        <v>ALVENARIA DE VEDAÇÃO DE BLOCOS CERÂMICOS FURADOS NA HORIZONTAL DE 9X14X19 CM (ESPESSURA 9 CM) E ARGAMASSA DE ASSENTAMENTO COM PREPARO EM BETONEIRA. AF_12/2021</v>
      </c>
      <c r="C630" s="1941"/>
      <c r="D630" s="1941"/>
      <c r="E630" s="1941"/>
      <c r="F630" s="1941"/>
      <c r="G630" s="1941"/>
      <c r="H630" s="1942"/>
      <c r="I630" s="1785" t="str">
        <f>VLOOKUP(A630,'PLANILHA SEM DESON'!$B$17:$D$1700,3,FALSE)</f>
        <v>m²</v>
      </c>
      <c r="J630" s="1786">
        <f>I638</f>
        <v>120.49000000000001</v>
      </c>
    </row>
    <row r="631" spans="1:10" ht="24">
      <c r="A631" s="1788" t="s">
        <v>2470</v>
      </c>
      <c r="B631" s="1789" t="s">
        <v>2471</v>
      </c>
      <c r="C631" s="1790" t="s">
        <v>2468</v>
      </c>
      <c r="D631" s="1791" t="s">
        <v>308</v>
      </c>
      <c r="E631" s="1790" t="s">
        <v>202</v>
      </c>
      <c r="F631" s="1792" t="s">
        <v>2472</v>
      </c>
      <c r="G631" s="1790" t="s">
        <v>2473</v>
      </c>
      <c r="H631" s="1793" t="s">
        <v>2474</v>
      </c>
      <c r="I631" s="1794" t="s">
        <v>2475</v>
      </c>
      <c r="J631" s="1795"/>
    </row>
    <row r="632" spans="1:10" ht="36">
      <c r="A632" s="1797" t="s">
        <v>2476</v>
      </c>
      <c r="B632" s="1798" t="s">
        <v>2479</v>
      </c>
      <c r="C632" s="1798">
        <v>7267</v>
      </c>
      <c r="D632" s="1799" t="s">
        <v>2644</v>
      </c>
      <c r="E632" s="1800" t="s">
        <v>2501</v>
      </c>
      <c r="F632" s="1807">
        <v>37.74</v>
      </c>
      <c r="G632" s="1801">
        <v>0.98</v>
      </c>
      <c r="H632" s="1802">
        <f t="shared" ref="H632:H637" si="79">IF(E632="H",G632,TRUNC(G632*(1-$K$7),2))</f>
        <v>0.97</v>
      </c>
      <c r="I632" s="1803">
        <f t="shared" ref="I632:I637" si="80">TRUNC(H632*F632,2)</f>
        <v>36.6</v>
      </c>
      <c r="J632" s="1795"/>
    </row>
    <row r="633" spans="1:10" ht="36">
      <c r="A633" s="1797" t="s">
        <v>2476</v>
      </c>
      <c r="B633" s="1798" t="s">
        <v>2479</v>
      </c>
      <c r="C633" s="1798">
        <v>34557</v>
      </c>
      <c r="D633" s="1799" t="s">
        <v>2645</v>
      </c>
      <c r="E633" s="1800" t="s">
        <v>160</v>
      </c>
      <c r="F633" s="1807">
        <v>0.57999999999999996</v>
      </c>
      <c r="G633" s="1801">
        <v>3.66</v>
      </c>
      <c r="H633" s="1802">
        <f t="shared" si="79"/>
        <v>3.64</v>
      </c>
      <c r="I633" s="1803">
        <f t="shared" si="80"/>
        <v>2.11</v>
      </c>
      <c r="J633" s="1795"/>
    </row>
    <row r="634" spans="1:10" ht="24">
      <c r="A634" s="1797" t="s">
        <v>2476</v>
      </c>
      <c r="B634" s="1798" t="s">
        <v>2479</v>
      </c>
      <c r="C634" s="1798">
        <v>37395</v>
      </c>
      <c r="D634" s="1799" t="s">
        <v>2646</v>
      </c>
      <c r="E634" s="1800" t="s">
        <v>2647</v>
      </c>
      <c r="F634" s="1807">
        <v>6.8999999999999999E-3</v>
      </c>
      <c r="G634" s="1801">
        <v>40.450000000000003</v>
      </c>
      <c r="H634" s="1802">
        <f t="shared" si="79"/>
        <v>40.24</v>
      </c>
      <c r="I634" s="1803">
        <f t="shared" si="80"/>
        <v>0.27</v>
      </c>
      <c r="J634" s="1795"/>
    </row>
    <row r="635" spans="1:10" ht="60">
      <c r="A635" s="1797" t="s">
        <v>2476</v>
      </c>
      <c r="B635" s="1798" t="s">
        <v>7</v>
      </c>
      <c r="C635" s="1798">
        <v>87292</v>
      </c>
      <c r="D635" s="1799" t="s">
        <v>2648</v>
      </c>
      <c r="E635" s="1800" t="s">
        <v>1171</v>
      </c>
      <c r="F635" s="1807">
        <v>1.0500000000000001E-2</v>
      </c>
      <c r="G635" s="1801">
        <v>578.16</v>
      </c>
      <c r="H635" s="1802">
        <f t="shared" si="79"/>
        <v>575.21</v>
      </c>
      <c r="I635" s="1803">
        <f t="shared" si="80"/>
        <v>6.03</v>
      </c>
      <c r="J635" s="1795"/>
    </row>
    <row r="636" spans="1:10">
      <c r="A636" s="1797" t="s">
        <v>2476</v>
      </c>
      <c r="B636" s="1798" t="s">
        <v>7</v>
      </c>
      <c r="C636" s="1798">
        <v>88309</v>
      </c>
      <c r="D636" s="1799" t="s">
        <v>103</v>
      </c>
      <c r="E636" s="1800" t="s">
        <v>411</v>
      </c>
      <c r="F636" s="1807">
        <v>2.2000000000000002</v>
      </c>
      <c r="G636" s="1801">
        <v>24.59</v>
      </c>
      <c r="H636" s="1802">
        <f t="shared" si="79"/>
        <v>24.59</v>
      </c>
      <c r="I636" s="1803">
        <f t="shared" si="80"/>
        <v>54.09</v>
      </c>
      <c r="J636" s="1795"/>
    </row>
    <row r="637" spans="1:10">
      <c r="A637" s="1797" t="s">
        <v>2476</v>
      </c>
      <c r="B637" s="1798" t="s">
        <v>7</v>
      </c>
      <c r="C637" s="1798">
        <v>88316</v>
      </c>
      <c r="D637" s="1799" t="s">
        <v>66</v>
      </c>
      <c r="E637" s="1800" t="s">
        <v>411</v>
      </c>
      <c r="F637" s="1807">
        <v>1.1000000000000001</v>
      </c>
      <c r="G637" s="1801">
        <v>19.45</v>
      </c>
      <c r="H637" s="1802">
        <f t="shared" si="79"/>
        <v>19.45</v>
      </c>
      <c r="I637" s="1803">
        <f t="shared" si="80"/>
        <v>21.39</v>
      </c>
      <c r="J637" s="1795"/>
    </row>
    <row r="638" spans="1:10">
      <c r="A638" s="1943" t="s">
        <v>2477</v>
      </c>
      <c r="B638" s="1944"/>
      <c r="C638" s="1944"/>
      <c r="D638" s="1944"/>
      <c r="E638" s="1944"/>
      <c r="F638" s="1944"/>
      <c r="G638" s="1944"/>
      <c r="H638" s="1945"/>
      <c r="I638" s="1805">
        <f>SUM(I632:I637)</f>
        <v>120.49000000000001</v>
      </c>
      <c r="J638" s="1795"/>
    </row>
    <row r="639" spans="1:10">
      <c r="A639" s="1929"/>
      <c r="B639" s="1930"/>
      <c r="C639" s="1930"/>
      <c r="D639" s="1930"/>
      <c r="E639" s="1930"/>
      <c r="F639" s="1930"/>
      <c r="G639" s="1930"/>
      <c r="H639" s="1930"/>
      <c r="I639" s="1931"/>
      <c r="J639" s="1795"/>
    </row>
    <row r="640" spans="1:10" ht="24.75" customHeight="1">
      <c r="A640" s="1784">
        <f>'PLANILHA SEM DESON'!B97</f>
        <v>101161</v>
      </c>
      <c r="B640" s="1940" t="str">
        <f>VLOOKUP(A640,'PLANILHA SEM DESON'!$B$17:$D$1700,2,FALSE)</f>
        <v>ALVENARIA DE VEDAÇÃO COM ELEMENTO VAZADO DE CONCRETO (COBOGÓ) DE 7X50X50CM E ARGAMASSA DE ASSENTAMENTO COM PREPARO EM BETONEIRA. AF_05/2020</v>
      </c>
      <c r="C640" s="1941"/>
      <c r="D640" s="1941"/>
      <c r="E640" s="1941"/>
      <c r="F640" s="1941"/>
      <c r="G640" s="1941"/>
      <c r="H640" s="1942"/>
      <c r="I640" s="1785" t="str">
        <f>VLOOKUP(A640,'PLANILHA SEM DESON'!$B$17:$D$1700,3,FALSE)</f>
        <v>m²</v>
      </c>
      <c r="J640" s="1786">
        <f>I646</f>
        <v>216.68</v>
      </c>
    </row>
    <row r="641" spans="1:10" ht="24">
      <c r="A641" s="1788" t="s">
        <v>2470</v>
      </c>
      <c r="B641" s="1789" t="s">
        <v>2471</v>
      </c>
      <c r="C641" s="1790" t="s">
        <v>2468</v>
      </c>
      <c r="D641" s="1791" t="s">
        <v>308</v>
      </c>
      <c r="E641" s="1790" t="s">
        <v>202</v>
      </c>
      <c r="F641" s="1792" t="s">
        <v>2472</v>
      </c>
      <c r="G641" s="1790" t="s">
        <v>2473</v>
      </c>
      <c r="H641" s="1793" t="s">
        <v>2474</v>
      </c>
      <c r="I641" s="1794" t="s">
        <v>2475</v>
      </c>
      <c r="J641" s="1795"/>
    </row>
    <row r="642" spans="1:10" ht="24">
      <c r="A642" s="1797" t="s">
        <v>2476</v>
      </c>
      <c r="B642" s="1798" t="s">
        <v>2479</v>
      </c>
      <c r="C642" s="1798">
        <v>665</v>
      </c>
      <c r="D642" s="1799" t="s">
        <v>2649</v>
      </c>
      <c r="E642" s="1800" t="s">
        <v>2501</v>
      </c>
      <c r="F642" s="1807">
        <v>3.95</v>
      </c>
      <c r="G642" s="1801">
        <v>35.549999999999997</v>
      </c>
      <c r="H642" s="1802">
        <f>IF(E642="H",G642,TRUNC(G642*(1-$K$7),2))</f>
        <v>35.36</v>
      </c>
      <c r="I642" s="1803">
        <f t="shared" ref="I642:I645" si="81">TRUNC(H642*F642,2)</f>
        <v>139.66999999999999</v>
      </c>
      <c r="J642" s="1795"/>
    </row>
    <row r="643" spans="1:10">
      <c r="A643" s="1797" t="s">
        <v>2476</v>
      </c>
      <c r="B643" s="1798" t="s">
        <v>7</v>
      </c>
      <c r="C643" s="1798">
        <v>88309</v>
      </c>
      <c r="D643" s="1799" t="s">
        <v>103</v>
      </c>
      <c r="E643" s="1800" t="s">
        <v>411</v>
      </c>
      <c r="F643" s="1807">
        <v>2.0550000000000002</v>
      </c>
      <c r="G643" s="1801">
        <v>24.59</v>
      </c>
      <c r="H643" s="1802">
        <f>IF(E643="H",G643,TRUNC(G643*(1-$K$7),2))</f>
        <v>24.59</v>
      </c>
      <c r="I643" s="1803">
        <f t="shared" si="81"/>
        <v>50.53</v>
      </c>
      <c r="J643" s="1795"/>
    </row>
    <row r="644" spans="1:10">
      <c r="A644" s="1797" t="s">
        <v>2476</v>
      </c>
      <c r="B644" s="1798" t="s">
        <v>7</v>
      </c>
      <c r="C644" s="1798">
        <v>88316</v>
      </c>
      <c r="D644" s="1799" t="s">
        <v>66</v>
      </c>
      <c r="E644" s="1800" t="s">
        <v>411</v>
      </c>
      <c r="F644" s="1807">
        <v>1.028</v>
      </c>
      <c r="G644" s="1801">
        <v>19.45</v>
      </c>
      <c r="H644" s="1802">
        <f>IF(E644="H",G644,TRUNC(G644*(1-$K$7),2))</f>
        <v>19.45</v>
      </c>
      <c r="I644" s="1803">
        <f t="shared" si="81"/>
        <v>19.989999999999998</v>
      </c>
      <c r="J644" s="1795"/>
    </row>
    <row r="645" spans="1:10" ht="36">
      <c r="A645" s="1797" t="s">
        <v>2476</v>
      </c>
      <c r="B645" s="1798" t="s">
        <v>7</v>
      </c>
      <c r="C645" s="1798">
        <v>100489</v>
      </c>
      <c r="D645" s="1799" t="s">
        <v>2650</v>
      </c>
      <c r="E645" s="1800" t="s">
        <v>1171</v>
      </c>
      <c r="F645" s="1807">
        <v>0.01</v>
      </c>
      <c r="G645" s="1801">
        <v>652.98</v>
      </c>
      <c r="H645" s="1802">
        <f>IF(E645="H",G645,TRUNC(G645*(1-$K$7),2))</f>
        <v>649.64</v>
      </c>
      <c r="I645" s="1803">
        <f t="shared" si="81"/>
        <v>6.49</v>
      </c>
      <c r="J645" s="1795"/>
    </row>
    <row r="646" spans="1:10">
      <c r="A646" s="1943" t="s">
        <v>2477</v>
      </c>
      <c r="B646" s="1944"/>
      <c r="C646" s="1944"/>
      <c r="D646" s="1944"/>
      <c r="E646" s="1944"/>
      <c r="F646" s="1944"/>
      <c r="G646" s="1944"/>
      <c r="H646" s="1945"/>
      <c r="I646" s="1805">
        <f>SUM(I642:I645)</f>
        <v>216.68</v>
      </c>
      <c r="J646" s="1795"/>
    </row>
    <row r="647" spans="1:10">
      <c r="A647" s="1929"/>
      <c r="B647" s="1930"/>
      <c r="C647" s="1930"/>
      <c r="D647" s="1930"/>
      <c r="E647" s="1930"/>
      <c r="F647" s="1930"/>
      <c r="G647" s="1930"/>
      <c r="H647" s="1930"/>
      <c r="I647" s="1931"/>
      <c r="J647" s="1795"/>
    </row>
    <row r="648" spans="1:10" ht="30.75" customHeight="1">
      <c r="A648" s="1784">
        <f>'PLANILHA SEM DESON'!B98</f>
        <v>93192</v>
      </c>
      <c r="B648" s="1940" t="str">
        <f>VLOOKUP(A648,'PLANILHA SEM DESON'!$B$17:$D$1700,2,FALSE)</f>
        <v>VERGA MOLDADA IN LOCO COM UTILIZAÇÃO DE BLOCOS CANALETA PARA PORTAS COM ATÉ 1,5 M DE VÃO. AF_03/2016</v>
      </c>
      <c r="C648" s="1941"/>
      <c r="D648" s="1941"/>
      <c r="E648" s="1941"/>
      <c r="F648" s="1941"/>
      <c r="G648" s="1941"/>
      <c r="H648" s="1942"/>
      <c r="I648" s="1785" t="str">
        <f>VLOOKUP(A648,'PLANILHA SEM DESON'!$B$17:$D$1700,3,FALSE)</f>
        <v>m</v>
      </c>
      <c r="J648" s="1786">
        <f>I658</f>
        <v>58.350000000000009</v>
      </c>
    </row>
    <row r="649" spans="1:10" ht="24">
      <c r="A649" s="1788" t="s">
        <v>2470</v>
      </c>
      <c r="B649" s="1789" t="s">
        <v>2471</v>
      </c>
      <c r="C649" s="1790" t="s">
        <v>2468</v>
      </c>
      <c r="D649" s="1791" t="s">
        <v>308</v>
      </c>
      <c r="E649" s="1790" t="s">
        <v>202</v>
      </c>
      <c r="F649" s="1792" t="s">
        <v>2472</v>
      </c>
      <c r="G649" s="1790" t="s">
        <v>2473</v>
      </c>
      <c r="H649" s="1793" t="s">
        <v>2474</v>
      </c>
      <c r="I649" s="1794" t="s">
        <v>2475</v>
      </c>
      <c r="J649" s="1795"/>
    </row>
    <row r="650" spans="1:10" ht="24">
      <c r="A650" s="1797" t="s">
        <v>2476</v>
      </c>
      <c r="B650" s="1798" t="s">
        <v>2479</v>
      </c>
      <c r="C650" s="1798">
        <v>660</v>
      </c>
      <c r="D650" s="1799" t="s">
        <v>2651</v>
      </c>
      <c r="E650" s="1800" t="s">
        <v>2501</v>
      </c>
      <c r="F650" s="1807">
        <v>5.34</v>
      </c>
      <c r="G650" s="1801">
        <v>3.35</v>
      </c>
      <c r="H650" s="1802">
        <f t="shared" ref="H650:H657" si="82">IF(E650="H",G650,TRUNC(G650*(1-$K$7),2))</f>
        <v>3.33</v>
      </c>
      <c r="I650" s="1803">
        <f t="shared" ref="I650:I657" si="83">TRUNC(H650*F650,2)</f>
        <v>17.78</v>
      </c>
      <c r="J650" s="1795"/>
    </row>
    <row r="651" spans="1:10" ht="24">
      <c r="A651" s="1797" t="s">
        <v>2476</v>
      </c>
      <c r="B651" s="1798" t="s">
        <v>2479</v>
      </c>
      <c r="C651" s="1798">
        <v>4491</v>
      </c>
      <c r="D651" s="1799" t="s">
        <v>1433</v>
      </c>
      <c r="E651" s="1800" t="s">
        <v>160</v>
      </c>
      <c r="F651" s="1807">
        <v>1.222</v>
      </c>
      <c r="G651" s="1801">
        <v>11.67</v>
      </c>
      <c r="H651" s="1802">
        <f t="shared" si="82"/>
        <v>11.61</v>
      </c>
      <c r="I651" s="1803">
        <f t="shared" si="83"/>
        <v>14.18</v>
      </c>
      <c r="J651" s="1795"/>
    </row>
    <row r="652" spans="1:10" ht="36">
      <c r="A652" s="1797" t="s">
        <v>2476</v>
      </c>
      <c r="B652" s="1798" t="s">
        <v>2479</v>
      </c>
      <c r="C652" s="1798">
        <v>6193</v>
      </c>
      <c r="D652" s="1799" t="s">
        <v>2573</v>
      </c>
      <c r="E652" s="1800" t="s">
        <v>160</v>
      </c>
      <c r="F652" s="1807">
        <v>0.17100000000000001</v>
      </c>
      <c r="G652" s="1801">
        <v>18.010000000000002</v>
      </c>
      <c r="H652" s="1802">
        <f t="shared" si="82"/>
        <v>17.91</v>
      </c>
      <c r="I652" s="1803">
        <f t="shared" si="83"/>
        <v>3.06</v>
      </c>
      <c r="J652" s="1795"/>
    </row>
    <row r="653" spans="1:10" ht="60">
      <c r="A653" s="1797" t="s">
        <v>2476</v>
      </c>
      <c r="B653" s="1798" t="s">
        <v>7</v>
      </c>
      <c r="C653" s="1798">
        <v>87294</v>
      </c>
      <c r="D653" s="1799" t="s">
        <v>2652</v>
      </c>
      <c r="E653" s="1800" t="s">
        <v>1171</v>
      </c>
      <c r="F653" s="1807">
        <v>1.9E-3</v>
      </c>
      <c r="G653" s="1801">
        <v>553.63</v>
      </c>
      <c r="H653" s="1802">
        <f t="shared" si="82"/>
        <v>550.79999999999995</v>
      </c>
      <c r="I653" s="1803">
        <f t="shared" ref="I653" si="84">TRUNC(H653*F653,2)</f>
        <v>1.04</v>
      </c>
      <c r="J653" s="1795"/>
    </row>
    <row r="654" spans="1:10">
      <c r="A654" s="1797" t="s">
        <v>2476</v>
      </c>
      <c r="B654" s="1798" t="s">
        <v>7</v>
      </c>
      <c r="C654" s="1798">
        <v>88309</v>
      </c>
      <c r="D654" s="1799" t="s">
        <v>103</v>
      </c>
      <c r="E654" s="1800" t="s">
        <v>411</v>
      </c>
      <c r="F654" s="1807">
        <v>0.27900000000000003</v>
      </c>
      <c r="G654" s="1801">
        <v>24.59</v>
      </c>
      <c r="H654" s="1802">
        <f t="shared" si="82"/>
        <v>24.59</v>
      </c>
      <c r="I654" s="1803">
        <f t="shared" si="83"/>
        <v>6.86</v>
      </c>
      <c r="J654" s="1795"/>
    </row>
    <row r="655" spans="1:10">
      <c r="A655" s="1797" t="s">
        <v>2476</v>
      </c>
      <c r="B655" s="1798" t="s">
        <v>7</v>
      </c>
      <c r="C655" s="1798">
        <v>88316</v>
      </c>
      <c r="D655" s="1799" t="s">
        <v>66</v>
      </c>
      <c r="E655" s="1800" t="s">
        <v>411</v>
      </c>
      <c r="F655" s="1807">
        <v>0.13900000000000001</v>
      </c>
      <c r="G655" s="1801">
        <v>19.45</v>
      </c>
      <c r="H655" s="1802">
        <f t="shared" si="82"/>
        <v>19.45</v>
      </c>
      <c r="I655" s="1803">
        <f t="shared" si="83"/>
        <v>2.7</v>
      </c>
      <c r="J655" s="1795"/>
    </row>
    <row r="656" spans="1:10" ht="48">
      <c r="A656" s="1797" t="s">
        <v>2476</v>
      </c>
      <c r="B656" s="1798" t="s">
        <v>7</v>
      </c>
      <c r="C656" s="1798">
        <v>90279</v>
      </c>
      <c r="D656" s="1799" t="s">
        <v>2653</v>
      </c>
      <c r="E656" s="1800" t="s">
        <v>1171</v>
      </c>
      <c r="F656" s="1807">
        <v>1.4E-2</v>
      </c>
      <c r="G656" s="1801">
        <v>642.92999999999995</v>
      </c>
      <c r="H656" s="1802">
        <f t="shared" si="82"/>
        <v>639.65</v>
      </c>
      <c r="I656" s="1803">
        <f t="shared" si="83"/>
        <v>8.9499999999999993</v>
      </c>
      <c r="J656" s="1795"/>
    </row>
    <row r="657" spans="1:10" ht="24">
      <c r="A657" s="1797" t="s">
        <v>2476</v>
      </c>
      <c r="B657" s="1798" t="s">
        <v>7</v>
      </c>
      <c r="C657" s="1798">
        <v>92800</v>
      </c>
      <c r="D657" s="1799" t="s">
        <v>2433</v>
      </c>
      <c r="E657" s="1800" t="s">
        <v>1184</v>
      </c>
      <c r="F657" s="1807">
        <v>0.308</v>
      </c>
      <c r="G657" s="1801">
        <v>12.37</v>
      </c>
      <c r="H657" s="1802">
        <f t="shared" si="82"/>
        <v>12.3</v>
      </c>
      <c r="I657" s="1803">
        <f t="shared" si="83"/>
        <v>3.78</v>
      </c>
      <c r="J657" s="1795"/>
    </row>
    <row r="658" spans="1:10">
      <c r="A658" s="1943" t="s">
        <v>2477</v>
      </c>
      <c r="B658" s="1944"/>
      <c r="C658" s="1944"/>
      <c r="D658" s="1944"/>
      <c r="E658" s="1944"/>
      <c r="F658" s="1944"/>
      <c r="G658" s="1944"/>
      <c r="H658" s="1945"/>
      <c r="I658" s="1805">
        <f>SUM(I650:I657)</f>
        <v>58.350000000000009</v>
      </c>
      <c r="J658" s="1795"/>
    </row>
    <row r="659" spans="1:10">
      <c r="A659" s="1929"/>
      <c r="B659" s="1930"/>
      <c r="C659" s="1930"/>
      <c r="D659" s="1930"/>
      <c r="E659" s="1930"/>
      <c r="F659" s="1930"/>
      <c r="G659" s="1930"/>
      <c r="H659" s="1930"/>
      <c r="I659" s="1931"/>
      <c r="J659" s="1795"/>
    </row>
    <row r="660" spans="1:10" ht="25.5" customHeight="1">
      <c r="A660" s="1784">
        <f>'PLANILHA SEM DESON'!B99</f>
        <v>93193</v>
      </c>
      <c r="B660" s="1940" t="str">
        <f>VLOOKUP(A660,'PLANILHA SEM DESON'!$B$17:$D$1700,2,FALSE)</f>
        <v>VERGA MOLDADA IN LOCO COM UTILIZAÇÃO DE BLOCOS CANALETA PARA PORTAS COM MAIS DE 1,5 M DE VÃO. AF_03/2016</v>
      </c>
      <c r="C660" s="1941"/>
      <c r="D660" s="1941"/>
      <c r="E660" s="1941"/>
      <c r="F660" s="1941"/>
      <c r="G660" s="1941"/>
      <c r="H660" s="1942"/>
      <c r="I660" s="1785" t="str">
        <f>VLOOKUP(A660,'PLANILHA SEM DESON'!$B$17:$D$1700,3,FALSE)</f>
        <v>m</v>
      </c>
      <c r="J660" s="1786">
        <f>I670</f>
        <v>54.08</v>
      </c>
    </row>
    <row r="661" spans="1:10" ht="24">
      <c r="A661" s="1788" t="s">
        <v>2470</v>
      </c>
      <c r="B661" s="1789" t="s">
        <v>2471</v>
      </c>
      <c r="C661" s="1790" t="s">
        <v>2468</v>
      </c>
      <c r="D661" s="1791" t="s">
        <v>308</v>
      </c>
      <c r="E661" s="1790" t="s">
        <v>202</v>
      </c>
      <c r="F661" s="1792" t="s">
        <v>2472</v>
      </c>
      <c r="G661" s="1790" t="s">
        <v>2473</v>
      </c>
      <c r="H661" s="1793" t="s">
        <v>2474</v>
      </c>
      <c r="I661" s="1794" t="s">
        <v>2475</v>
      </c>
      <c r="J661" s="1795"/>
    </row>
    <row r="662" spans="1:10" ht="24">
      <c r="A662" s="1797" t="s">
        <v>2476</v>
      </c>
      <c r="B662" s="1798" t="s">
        <v>2479</v>
      </c>
      <c r="C662" s="1798">
        <v>660</v>
      </c>
      <c r="D662" s="1799" t="s">
        <v>2651</v>
      </c>
      <c r="E662" s="1800" t="s">
        <v>2501</v>
      </c>
      <c r="F662" s="1807">
        <v>5.34</v>
      </c>
      <c r="G662" s="1801">
        <v>3.35</v>
      </c>
      <c r="H662" s="1802">
        <f t="shared" ref="H662:H669" si="85">IF(E662="H",G662,TRUNC(G662*(1-$K$7),2))</f>
        <v>3.33</v>
      </c>
      <c r="I662" s="1803">
        <f t="shared" ref="I662:I669" si="86">TRUNC(H662*F662,2)</f>
        <v>17.78</v>
      </c>
      <c r="J662" s="1795"/>
    </row>
    <row r="663" spans="1:10" ht="24">
      <c r="A663" s="1797" t="s">
        <v>2476</v>
      </c>
      <c r="B663" s="1798" t="s">
        <v>2479</v>
      </c>
      <c r="C663" s="1798">
        <v>4491</v>
      </c>
      <c r="D663" s="1799" t="s">
        <v>1433</v>
      </c>
      <c r="E663" s="1800" t="s">
        <v>160</v>
      </c>
      <c r="F663" s="1807">
        <v>0.379</v>
      </c>
      <c r="G663" s="1801">
        <v>11.67</v>
      </c>
      <c r="H663" s="1802">
        <f t="shared" si="85"/>
        <v>11.61</v>
      </c>
      <c r="I663" s="1803">
        <f t="shared" si="86"/>
        <v>4.4000000000000004</v>
      </c>
      <c r="J663" s="1795"/>
    </row>
    <row r="664" spans="1:10" ht="36">
      <c r="A664" s="1797" t="s">
        <v>2476</v>
      </c>
      <c r="B664" s="1798" t="s">
        <v>2479</v>
      </c>
      <c r="C664" s="1798">
        <v>6193</v>
      </c>
      <c r="D664" s="1799" t="s">
        <v>2573</v>
      </c>
      <c r="E664" s="1800" t="s">
        <v>160</v>
      </c>
      <c r="F664" s="1807">
        <v>0.19</v>
      </c>
      <c r="G664" s="1801">
        <v>18.010000000000002</v>
      </c>
      <c r="H664" s="1802">
        <f t="shared" si="85"/>
        <v>17.91</v>
      </c>
      <c r="I664" s="1803">
        <f t="shared" ref="I664" si="87">TRUNC(H664*F664,2)</f>
        <v>3.4</v>
      </c>
      <c r="J664" s="1795"/>
    </row>
    <row r="665" spans="1:10" ht="60">
      <c r="A665" s="1797" t="s">
        <v>2476</v>
      </c>
      <c r="B665" s="1798" t="s">
        <v>7</v>
      </c>
      <c r="C665" s="1798">
        <v>87294</v>
      </c>
      <c r="D665" s="1799" t="s">
        <v>2652</v>
      </c>
      <c r="E665" s="1800" t="s">
        <v>1171</v>
      </c>
      <c r="F665" s="1807">
        <v>1.9E-3</v>
      </c>
      <c r="G665" s="1801">
        <v>553.63</v>
      </c>
      <c r="H665" s="1802">
        <f t="shared" si="85"/>
        <v>550.79999999999995</v>
      </c>
      <c r="I665" s="1803">
        <f t="shared" si="86"/>
        <v>1.04</v>
      </c>
      <c r="J665" s="1795"/>
    </row>
    <row r="666" spans="1:10">
      <c r="A666" s="1797" t="s">
        <v>2476</v>
      </c>
      <c r="B666" s="1798" t="s">
        <v>7</v>
      </c>
      <c r="C666" s="1798">
        <v>88309</v>
      </c>
      <c r="D666" s="1799" t="s">
        <v>103</v>
      </c>
      <c r="E666" s="1800" t="s">
        <v>411</v>
      </c>
      <c r="F666" s="1807">
        <v>0.24299999999999999</v>
      </c>
      <c r="G666" s="1801">
        <v>24.59</v>
      </c>
      <c r="H666" s="1802">
        <f t="shared" si="85"/>
        <v>24.59</v>
      </c>
      <c r="I666" s="1803">
        <f t="shared" si="86"/>
        <v>5.97</v>
      </c>
      <c r="J666" s="1795"/>
    </row>
    <row r="667" spans="1:10">
      <c r="A667" s="1797" t="s">
        <v>2476</v>
      </c>
      <c r="B667" s="1798" t="s">
        <v>7</v>
      </c>
      <c r="C667" s="1798">
        <v>88316</v>
      </c>
      <c r="D667" s="1799" t="s">
        <v>66</v>
      </c>
      <c r="E667" s="1800" t="s">
        <v>411</v>
      </c>
      <c r="F667" s="1807">
        <v>0.121</v>
      </c>
      <c r="G667" s="1801">
        <v>19.45</v>
      </c>
      <c r="H667" s="1802">
        <f t="shared" si="85"/>
        <v>19.45</v>
      </c>
      <c r="I667" s="1803">
        <f t="shared" si="86"/>
        <v>2.35</v>
      </c>
      <c r="J667" s="1795"/>
    </row>
    <row r="668" spans="1:10" ht="48">
      <c r="A668" s="1797" t="s">
        <v>2476</v>
      </c>
      <c r="B668" s="1798" t="s">
        <v>7</v>
      </c>
      <c r="C668" s="1798">
        <v>90279</v>
      </c>
      <c r="D668" s="1799" t="s">
        <v>2653</v>
      </c>
      <c r="E668" s="1800" t="s">
        <v>1171</v>
      </c>
      <c r="F668" s="1807">
        <v>1.4E-2</v>
      </c>
      <c r="G668" s="1801">
        <v>642.92999999999995</v>
      </c>
      <c r="H668" s="1802">
        <f t="shared" si="85"/>
        <v>639.65</v>
      </c>
      <c r="I668" s="1803">
        <f t="shared" si="86"/>
        <v>8.9499999999999993</v>
      </c>
      <c r="J668" s="1795"/>
    </row>
    <row r="669" spans="1:10" ht="24">
      <c r="A669" s="1797" t="s">
        <v>2476</v>
      </c>
      <c r="B669" s="1798" t="s">
        <v>7</v>
      </c>
      <c r="C669" s="1798">
        <v>92802</v>
      </c>
      <c r="D669" s="1799" t="s">
        <v>2629</v>
      </c>
      <c r="E669" s="1800" t="s">
        <v>1184</v>
      </c>
      <c r="F669" s="1807">
        <v>0.79</v>
      </c>
      <c r="G669" s="1801">
        <v>12.98</v>
      </c>
      <c r="H669" s="1802">
        <f t="shared" si="85"/>
        <v>12.91</v>
      </c>
      <c r="I669" s="1803">
        <f t="shared" si="86"/>
        <v>10.19</v>
      </c>
      <c r="J669" s="1795"/>
    </row>
    <row r="670" spans="1:10">
      <c r="A670" s="1943" t="s">
        <v>2477</v>
      </c>
      <c r="B670" s="1944"/>
      <c r="C670" s="1944"/>
      <c r="D670" s="1944"/>
      <c r="E670" s="1944"/>
      <c r="F670" s="1944"/>
      <c r="G670" s="1944"/>
      <c r="H670" s="1945"/>
      <c r="I670" s="1805">
        <f>SUM(I662:I669)</f>
        <v>54.08</v>
      </c>
      <c r="J670" s="1795"/>
    </row>
    <row r="671" spans="1:10">
      <c r="A671" s="1929"/>
      <c r="B671" s="1930"/>
      <c r="C671" s="1930"/>
      <c r="D671" s="1930"/>
      <c r="E671" s="1930"/>
      <c r="F671" s="1930"/>
      <c r="G671" s="1930"/>
      <c r="H671" s="1930"/>
      <c r="I671" s="1931"/>
      <c r="J671" s="1795"/>
    </row>
    <row r="672" spans="1:10" ht="26.25" customHeight="1">
      <c r="A672" s="1784">
        <f>'PLANILHA SEM DESON'!B100</f>
        <v>93190</v>
      </c>
      <c r="B672" s="1940" t="str">
        <f>VLOOKUP(A672,'PLANILHA SEM DESON'!$B$17:$D$1700,2,FALSE)</f>
        <v>VERGA MOLDADA IN LOCO COM UTILIZAÇÃO DE BLOCOS CANALETA PARA JANELAS COM ATÉ 1,5 M DE VÃO. AF_03/2016</v>
      </c>
      <c r="C672" s="1941"/>
      <c r="D672" s="1941"/>
      <c r="E672" s="1941"/>
      <c r="F672" s="1941"/>
      <c r="G672" s="1941"/>
      <c r="H672" s="1942"/>
      <c r="I672" s="1785" t="str">
        <f>VLOOKUP(A672,'PLANILHA SEM DESON'!$B$17:$D$1700,3,FALSE)</f>
        <v>m</v>
      </c>
      <c r="J672" s="1786">
        <f>I682</f>
        <v>50.469999999999992</v>
      </c>
    </row>
    <row r="673" spans="1:10" ht="24">
      <c r="A673" s="1788" t="s">
        <v>2470</v>
      </c>
      <c r="B673" s="1789" t="s">
        <v>2471</v>
      </c>
      <c r="C673" s="1790" t="s">
        <v>2468</v>
      </c>
      <c r="D673" s="1791" t="s">
        <v>308</v>
      </c>
      <c r="E673" s="1790" t="s">
        <v>202</v>
      </c>
      <c r="F673" s="1792" t="s">
        <v>2472</v>
      </c>
      <c r="G673" s="1790" t="s">
        <v>2473</v>
      </c>
      <c r="H673" s="1793" t="s">
        <v>2474</v>
      </c>
      <c r="I673" s="1794" t="s">
        <v>2475</v>
      </c>
      <c r="J673" s="1795"/>
    </row>
    <row r="674" spans="1:10" ht="24">
      <c r="A674" s="1797" t="s">
        <v>2476</v>
      </c>
      <c r="B674" s="1798" t="s">
        <v>2479</v>
      </c>
      <c r="C674" s="1798">
        <v>660</v>
      </c>
      <c r="D674" s="1799" t="s">
        <v>2651</v>
      </c>
      <c r="E674" s="1800" t="s">
        <v>2501</v>
      </c>
      <c r="F674" s="1807">
        <v>5.34</v>
      </c>
      <c r="G674" s="1801">
        <v>3.35</v>
      </c>
      <c r="H674" s="1802">
        <f t="shared" ref="H674:H681" si="88">IF(E674="H",G674,TRUNC(G674*(1-$K$7),2))</f>
        <v>3.33</v>
      </c>
      <c r="I674" s="1803">
        <f t="shared" ref="I674:I681" si="89">TRUNC(H674*F674,2)</f>
        <v>17.78</v>
      </c>
      <c r="J674" s="1795"/>
    </row>
    <row r="675" spans="1:10" ht="24">
      <c r="A675" s="1797" t="s">
        <v>2476</v>
      </c>
      <c r="B675" s="1798" t="s">
        <v>2479</v>
      </c>
      <c r="C675" s="1798">
        <v>4491</v>
      </c>
      <c r="D675" s="1799" t="s">
        <v>1433</v>
      </c>
      <c r="E675" s="1800" t="s">
        <v>160</v>
      </c>
      <c r="F675" s="1807">
        <v>0.35199999999999998</v>
      </c>
      <c r="G675" s="1801">
        <v>11.67</v>
      </c>
      <c r="H675" s="1802">
        <f t="shared" si="88"/>
        <v>11.61</v>
      </c>
      <c r="I675" s="1803">
        <f t="shared" si="89"/>
        <v>4.08</v>
      </c>
      <c r="J675" s="1795"/>
    </row>
    <row r="676" spans="1:10" ht="36">
      <c r="A676" s="1797" t="s">
        <v>2476</v>
      </c>
      <c r="B676" s="1798" t="s">
        <v>2479</v>
      </c>
      <c r="C676" s="1798">
        <v>6193</v>
      </c>
      <c r="D676" s="1799" t="s">
        <v>2573</v>
      </c>
      <c r="E676" s="1800" t="s">
        <v>160</v>
      </c>
      <c r="F676" s="1807">
        <v>0.17599999999999999</v>
      </c>
      <c r="G676" s="1801">
        <v>18.010000000000002</v>
      </c>
      <c r="H676" s="1802">
        <f t="shared" si="88"/>
        <v>17.91</v>
      </c>
      <c r="I676" s="1803">
        <f t="shared" ref="I676" si="90">TRUNC(H676*F676,2)</f>
        <v>3.15</v>
      </c>
      <c r="J676" s="1795"/>
    </row>
    <row r="677" spans="1:10" ht="60">
      <c r="A677" s="1797" t="s">
        <v>2476</v>
      </c>
      <c r="B677" s="1798" t="s">
        <v>7</v>
      </c>
      <c r="C677" s="1798">
        <v>87294</v>
      </c>
      <c r="D677" s="1799" t="s">
        <v>2652</v>
      </c>
      <c r="E677" s="1800" t="s">
        <v>1171</v>
      </c>
      <c r="F677" s="1807">
        <v>1.9E-3</v>
      </c>
      <c r="G677" s="1801">
        <v>553.63</v>
      </c>
      <c r="H677" s="1802">
        <f t="shared" si="88"/>
        <v>550.79999999999995</v>
      </c>
      <c r="I677" s="1803">
        <f t="shared" si="89"/>
        <v>1.04</v>
      </c>
      <c r="J677" s="1795"/>
    </row>
    <row r="678" spans="1:10">
      <c r="A678" s="1797" t="s">
        <v>2476</v>
      </c>
      <c r="B678" s="1798" t="s">
        <v>7</v>
      </c>
      <c r="C678" s="1798">
        <v>88309</v>
      </c>
      <c r="D678" s="1799" t="s">
        <v>103</v>
      </c>
      <c r="E678" s="1800" t="s">
        <v>411</v>
      </c>
      <c r="F678" s="1807">
        <v>0.26900000000000002</v>
      </c>
      <c r="G678" s="1801">
        <v>24.59</v>
      </c>
      <c r="H678" s="1802">
        <f t="shared" si="88"/>
        <v>24.59</v>
      </c>
      <c r="I678" s="1803">
        <f t="shared" si="89"/>
        <v>6.61</v>
      </c>
      <c r="J678" s="1795"/>
    </row>
    <row r="679" spans="1:10">
      <c r="A679" s="1797" t="s">
        <v>2476</v>
      </c>
      <c r="B679" s="1798" t="s">
        <v>7</v>
      </c>
      <c r="C679" s="1798">
        <v>88316</v>
      </c>
      <c r="D679" s="1799" t="s">
        <v>66</v>
      </c>
      <c r="E679" s="1800" t="s">
        <v>411</v>
      </c>
      <c r="F679" s="1807">
        <v>0.13400000000000001</v>
      </c>
      <c r="G679" s="1801">
        <v>19.45</v>
      </c>
      <c r="H679" s="1802">
        <f t="shared" si="88"/>
        <v>19.45</v>
      </c>
      <c r="I679" s="1803">
        <f t="shared" si="89"/>
        <v>2.6</v>
      </c>
      <c r="J679" s="1795"/>
    </row>
    <row r="680" spans="1:10" ht="48">
      <c r="A680" s="1797" t="s">
        <v>2476</v>
      </c>
      <c r="B680" s="1798" t="s">
        <v>7</v>
      </c>
      <c r="C680" s="1798">
        <v>90279</v>
      </c>
      <c r="D680" s="1799" t="s">
        <v>2653</v>
      </c>
      <c r="E680" s="1800" t="s">
        <v>1171</v>
      </c>
      <c r="F680" s="1807">
        <v>1.4E-2</v>
      </c>
      <c r="G680" s="1801">
        <v>642.92999999999995</v>
      </c>
      <c r="H680" s="1802">
        <f t="shared" si="88"/>
        <v>639.65</v>
      </c>
      <c r="I680" s="1803">
        <f t="shared" si="89"/>
        <v>8.9499999999999993</v>
      </c>
      <c r="J680" s="1795"/>
    </row>
    <row r="681" spans="1:10" ht="24">
      <c r="A681" s="1797" t="s">
        <v>2476</v>
      </c>
      <c r="B681" s="1798" t="s">
        <v>7</v>
      </c>
      <c r="C681" s="1798">
        <v>92801</v>
      </c>
      <c r="D681" s="1799" t="s">
        <v>2635</v>
      </c>
      <c r="E681" s="1800" t="s">
        <v>1184</v>
      </c>
      <c r="F681" s="1807">
        <v>0.49</v>
      </c>
      <c r="G681" s="1801">
        <v>12.86</v>
      </c>
      <c r="H681" s="1802">
        <f t="shared" si="88"/>
        <v>12.79</v>
      </c>
      <c r="I681" s="1803">
        <f t="shared" si="89"/>
        <v>6.26</v>
      </c>
      <c r="J681" s="1795"/>
    </row>
    <row r="682" spans="1:10">
      <c r="A682" s="1943" t="s">
        <v>2477</v>
      </c>
      <c r="B682" s="1944"/>
      <c r="C682" s="1944"/>
      <c r="D682" s="1944"/>
      <c r="E682" s="1944"/>
      <c r="F682" s="1944"/>
      <c r="G682" s="1944"/>
      <c r="H682" s="1945"/>
      <c r="I682" s="1805">
        <f>SUM(I674:I681)</f>
        <v>50.469999999999992</v>
      </c>
      <c r="J682" s="1795"/>
    </row>
    <row r="683" spans="1:10">
      <c r="A683" s="1929"/>
      <c r="B683" s="1930"/>
      <c r="C683" s="1930"/>
      <c r="D683" s="1930"/>
      <c r="E683" s="1930"/>
      <c r="F683" s="1930"/>
      <c r="G683" s="1930"/>
      <c r="H683" s="1930"/>
      <c r="I683" s="1931"/>
      <c r="J683" s="1795"/>
    </row>
    <row r="684" spans="1:10">
      <c r="A684" s="1784">
        <f>'PLANILHA SEM DESON'!B101</f>
        <v>93187</v>
      </c>
      <c r="B684" s="1940" t="str">
        <f>VLOOKUP(A684,'PLANILHA SEM DESON'!$B$17:$D$1700,2,FALSE)</f>
        <v>VERGA MOLDADA IN LOCO EM CONCRETO PARA JANELAS COM MAIS DE 1,5 M DE VÃO. AF_03/2016</v>
      </c>
      <c r="C684" s="1941"/>
      <c r="D684" s="1941"/>
      <c r="E684" s="1941"/>
      <c r="F684" s="1941"/>
      <c r="G684" s="1941"/>
      <c r="H684" s="1942"/>
      <c r="I684" s="1785" t="str">
        <f>VLOOKUP(A684,'PLANILHA SEM DESON'!$B$17:$D$1700,3,FALSE)</f>
        <v>m</v>
      </c>
      <c r="J684" s="1786">
        <f>I694</f>
        <v>105.07</v>
      </c>
    </row>
    <row r="685" spans="1:10" ht="24">
      <c r="A685" s="1788" t="s">
        <v>2470</v>
      </c>
      <c r="B685" s="1789" t="s">
        <v>2471</v>
      </c>
      <c r="C685" s="1790" t="s">
        <v>2468</v>
      </c>
      <c r="D685" s="1791" t="s">
        <v>308</v>
      </c>
      <c r="E685" s="1790" t="s">
        <v>202</v>
      </c>
      <c r="F685" s="1792" t="s">
        <v>2472</v>
      </c>
      <c r="G685" s="1790" t="s">
        <v>2473</v>
      </c>
      <c r="H685" s="1793" t="s">
        <v>2474</v>
      </c>
      <c r="I685" s="1794" t="s">
        <v>2475</v>
      </c>
      <c r="J685" s="1795"/>
    </row>
    <row r="686" spans="1:10" ht="24">
      <c r="A686" s="1797" t="s">
        <v>2476</v>
      </c>
      <c r="B686" s="1798" t="s">
        <v>2479</v>
      </c>
      <c r="C686" s="1798">
        <v>2692</v>
      </c>
      <c r="D686" s="1799" t="s">
        <v>1730</v>
      </c>
      <c r="E686" s="1800" t="s">
        <v>455</v>
      </c>
      <c r="F686" s="1807">
        <v>7.0000000000000001E-3</v>
      </c>
      <c r="G686" s="1801">
        <v>8.84</v>
      </c>
      <c r="H686" s="1802">
        <f t="shared" ref="H686:H693" si="91">IF(E686="H",G686,TRUNC(G686*(1-$K$7),2))</f>
        <v>8.7899999999999991</v>
      </c>
      <c r="I686" s="1803">
        <f t="shared" ref="I686:I693" si="92">TRUNC(H686*F686,2)</f>
        <v>0.06</v>
      </c>
      <c r="J686" s="1795"/>
    </row>
    <row r="687" spans="1:10" ht="24">
      <c r="A687" s="1797" t="s">
        <v>2476</v>
      </c>
      <c r="B687" s="1798" t="s">
        <v>2479</v>
      </c>
      <c r="C687" s="1798">
        <v>4491</v>
      </c>
      <c r="D687" s="1799" t="s">
        <v>1433</v>
      </c>
      <c r="E687" s="1800" t="s">
        <v>160</v>
      </c>
      <c r="F687" s="1807">
        <v>0.22</v>
      </c>
      <c r="G687" s="1801">
        <v>11.67</v>
      </c>
      <c r="H687" s="1802">
        <f t="shared" si="91"/>
        <v>11.61</v>
      </c>
      <c r="I687" s="1803">
        <f t="shared" si="92"/>
        <v>2.5499999999999998</v>
      </c>
      <c r="J687" s="1795"/>
    </row>
    <row r="688" spans="1:10" ht="36">
      <c r="A688" s="1797" t="s">
        <v>2476</v>
      </c>
      <c r="B688" s="1798" t="s">
        <v>2479</v>
      </c>
      <c r="C688" s="1798">
        <v>39017</v>
      </c>
      <c r="D688" s="1799" t="s">
        <v>2627</v>
      </c>
      <c r="E688" s="1800" t="s">
        <v>2501</v>
      </c>
      <c r="F688" s="1807">
        <v>6</v>
      </c>
      <c r="G688" s="1801">
        <v>0.22</v>
      </c>
      <c r="H688" s="1802">
        <f t="shared" si="91"/>
        <v>0.21</v>
      </c>
      <c r="I688" s="1803">
        <f t="shared" ref="I688" si="93">TRUNC(H688*F688,2)</f>
        <v>1.26</v>
      </c>
      <c r="J688" s="1795"/>
    </row>
    <row r="689" spans="1:10">
      <c r="A689" s="1797" t="s">
        <v>2476</v>
      </c>
      <c r="B689" s="1798" t="s">
        <v>7</v>
      </c>
      <c r="C689" s="1798">
        <v>88309</v>
      </c>
      <c r="D689" s="1799" t="s">
        <v>103</v>
      </c>
      <c r="E689" s="1800" t="s">
        <v>411</v>
      </c>
      <c r="F689" s="1807">
        <v>0.36</v>
      </c>
      <c r="G689" s="1801">
        <v>24.59</v>
      </c>
      <c r="H689" s="1802">
        <f t="shared" si="91"/>
        <v>24.59</v>
      </c>
      <c r="I689" s="1803">
        <f t="shared" si="92"/>
        <v>8.85</v>
      </c>
      <c r="J689" s="1795"/>
    </row>
    <row r="690" spans="1:10">
      <c r="A690" s="1797" t="s">
        <v>2476</v>
      </c>
      <c r="B690" s="1798" t="s">
        <v>7</v>
      </c>
      <c r="C690" s="1798">
        <v>88316</v>
      </c>
      <c r="D690" s="1799" t="s">
        <v>66</v>
      </c>
      <c r="E690" s="1800" t="s">
        <v>411</v>
      </c>
      <c r="F690" s="1807">
        <v>0.18</v>
      </c>
      <c r="G690" s="1801">
        <v>19.45</v>
      </c>
      <c r="H690" s="1802">
        <f t="shared" si="91"/>
        <v>19.45</v>
      </c>
      <c r="I690" s="1803">
        <f t="shared" si="92"/>
        <v>3.5</v>
      </c>
      <c r="J690" s="1795"/>
    </row>
    <row r="691" spans="1:10" ht="24">
      <c r="A691" s="1797" t="s">
        <v>2476</v>
      </c>
      <c r="B691" s="1798" t="s">
        <v>7</v>
      </c>
      <c r="C691" s="1798">
        <v>92270</v>
      </c>
      <c r="D691" s="1799" t="s">
        <v>2654</v>
      </c>
      <c r="E691" s="1800" t="s">
        <v>1176</v>
      </c>
      <c r="F691" s="1807">
        <v>0.4</v>
      </c>
      <c r="G691" s="1801">
        <v>165.78</v>
      </c>
      <c r="H691" s="1802">
        <f t="shared" si="91"/>
        <v>164.93</v>
      </c>
      <c r="I691" s="1803">
        <f t="shared" si="92"/>
        <v>65.97</v>
      </c>
      <c r="J691" s="1795"/>
    </row>
    <row r="692" spans="1:10" ht="24">
      <c r="A692" s="1797" t="s">
        <v>2476</v>
      </c>
      <c r="B692" s="1798" t="s">
        <v>7</v>
      </c>
      <c r="C692" s="1798">
        <v>92802</v>
      </c>
      <c r="D692" s="1799" t="s">
        <v>2629</v>
      </c>
      <c r="E692" s="1800" t="s">
        <v>1184</v>
      </c>
      <c r="F692" s="1807">
        <v>0.79</v>
      </c>
      <c r="G692" s="1801">
        <v>12.98</v>
      </c>
      <c r="H692" s="1802">
        <f t="shared" si="91"/>
        <v>12.91</v>
      </c>
      <c r="I692" s="1803">
        <f t="shared" si="92"/>
        <v>10.19</v>
      </c>
      <c r="J692" s="1795"/>
    </row>
    <row r="693" spans="1:10" ht="36">
      <c r="A693" s="1797" t="s">
        <v>2476</v>
      </c>
      <c r="B693" s="1798" t="s">
        <v>7</v>
      </c>
      <c r="C693" s="1798">
        <v>94970</v>
      </c>
      <c r="D693" s="1799" t="s">
        <v>2655</v>
      </c>
      <c r="E693" s="1800" t="s">
        <v>1171</v>
      </c>
      <c r="F693" s="1807">
        <v>2.4E-2</v>
      </c>
      <c r="G693" s="1801">
        <v>531.49</v>
      </c>
      <c r="H693" s="1802">
        <f t="shared" si="91"/>
        <v>528.77</v>
      </c>
      <c r="I693" s="1803">
        <f t="shared" si="92"/>
        <v>12.69</v>
      </c>
      <c r="J693" s="1795"/>
    </row>
    <row r="694" spans="1:10">
      <c r="A694" s="1943" t="s">
        <v>2477</v>
      </c>
      <c r="B694" s="1944"/>
      <c r="C694" s="1944"/>
      <c r="D694" s="1944"/>
      <c r="E694" s="1944"/>
      <c r="F694" s="1944"/>
      <c r="G694" s="1944"/>
      <c r="H694" s="1945"/>
      <c r="I694" s="1805">
        <f>SUM(I686:I693)</f>
        <v>105.07</v>
      </c>
      <c r="J694" s="1795"/>
    </row>
    <row r="695" spans="1:10">
      <c r="A695" s="1929"/>
      <c r="B695" s="1930"/>
      <c r="C695" s="1930"/>
      <c r="D695" s="1930"/>
      <c r="E695" s="1930"/>
      <c r="F695" s="1930"/>
      <c r="G695" s="1930"/>
      <c r="H695" s="1930"/>
      <c r="I695" s="1931"/>
      <c r="J695" s="1795"/>
    </row>
    <row r="696" spans="1:10" ht="27.75" customHeight="1">
      <c r="A696" s="1784">
        <f>'PLANILHA SEM DESON'!B102</f>
        <v>93198</v>
      </c>
      <c r="B696" s="1940" t="str">
        <f>VLOOKUP(A696,'PLANILHA SEM DESON'!$B$17:$D$1700,2,FALSE)</f>
        <v>CONTRAVERGA MOLDADA IN LOCO COM UTILIZAÇÃO DE BLOCOS CANALETA PARA VÃOS DE ATÉ 1,5 M DE COMPRIMENTO. AF_03/2016</v>
      </c>
      <c r="C696" s="1941"/>
      <c r="D696" s="1941"/>
      <c r="E696" s="1941"/>
      <c r="F696" s="1941"/>
      <c r="G696" s="1941"/>
      <c r="H696" s="1942"/>
      <c r="I696" s="1785" t="str">
        <f>VLOOKUP(A696,'PLANILHA SEM DESON'!$B$17:$D$1700,3,FALSE)</f>
        <v>m</v>
      </c>
      <c r="J696" s="1786">
        <f>I704</f>
        <v>43.24</v>
      </c>
    </row>
    <row r="697" spans="1:10" ht="24">
      <c r="A697" s="1788" t="s">
        <v>2470</v>
      </c>
      <c r="B697" s="1789" t="s">
        <v>2471</v>
      </c>
      <c r="C697" s="1790" t="s">
        <v>2468</v>
      </c>
      <c r="D697" s="1791" t="s">
        <v>308</v>
      </c>
      <c r="E697" s="1790" t="s">
        <v>202</v>
      </c>
      <c r="F697" s="1792" t="s">
        <v>2472</v>
      </c>
      <c r="G697" s="1790" t="s">
        <v>2473</v>
      </c>
      <c r="H697" s="1793" t="s">
        <v>2474</v>
      </c>
      <c r="I697" s="1794" t="s">
        <v>2475</v>
      </c>
      <c r="J697" s="1795"/>
    </row>
    <row r="698" spans="1:10" ht="24">
      <c r="A698" s="1797" t="s">
        <v>2476</v>
      </c>
      <c r="B698" s="1798" t="s">
        <v>2479</v>
      </c>
      <c r="C698" s="1798">
        <v>660</v>
      </c>
      <c r="D698" s="1799" t="s">
        <v>2651</v>
      </c>
      <c r="E698" s="1800" t="s">
        <v>2501</v>
      </c>
      <c r="F698" s="1807">
        <v>5.34</v>
      </c>
      <c r="G698" s="1801">
        <v>3.35</v>
      </c>
      <c r="H698" s="1802">
        <f t="shared" ref="H698:H703" si="94">IF(E698="H",G698,TRUNC(G698*(1-$K$7),2))</f>
        <v>3.33</v>
      </c>
      <c r="I698" s="1803">
        <f t="shared" ref="I698:I703" si="95">TRUNC(H698*F698,2)</f>
        <v>17.78</v>
      </c>
      <c r="J698" s="1795"/>
    </row>
    <row r="699" spans="1:10" ht="60">
      <c r="A699" s="1797" t="s">
        <v>2476</v>
      </c>
      <c r="B699" s="1798" t="s">
        <v>7</v>
      </c>
      <c r="C699" s="1798">
        <v>87294</v>
      </c>
      <c r="D699" s="1799" t="s">
        <v>2652</v>
      </c>
      <c r="E699" s="1800" t="s">
        <v>1171</v>
      </c>
      <c r="F699" s="1807">
        <v>1.9E-3</v>
      </c>
      <c r="G699" s="1801">
        <v>553.63</v>
      </c>
      <c r="H699" s="1802">
        <f t="shared" si="94"/>
        <v>550.79999999999995</v>
      </c>
      <c r="I699" s="1803">
        <f t="shared" si="95"/>
        <v>1.04</v>
      </c>
      <c r="J699" s="1795"/>
    </row>
    <row r="700" spans="1:10">
      <c r="A700" s="1797" t="s">
        <v>2476</v>
      </c>
      <c r="B700" s="1798" t="s">
        <v>7</v>
      </c>
      <c r="C700" s="1798">
        <v>88309</v>
      </c>
      <c r="D700" s="1799" t="s">
        <v>103</v>
      </c>
      <c r="E700" s="1800" t="s">
        <v>411</v>
      </c>
      <c r="F700" s="1807">
        <v>0.26900000000000002</v>
      </c>
      <c r="G700" s="1801">
        <v>24.59</v>
      </c>
      <c r="H700" s="1802">
        <f t="shared" si="94"/>
        <v>24.59</v>
      </c>
      <c r="I700" s="1803">
        <f t="shared" si="95"/>
        <v>6.61</v>
      </c>
      <c r="J700" s="1795"/>
    </row>
    <row r="701" spans="1:10">
      <c r="A701" s="1797" t="s">
        <v>2476</v>
      </c>
      <c r="B701" s="1798" t="s">
        <v>7</v>
      </c>
      <c r="C701" s="1798">
        <v>88316</v>
      </c>
      <c r="D701" s="1799" t="s">
        <v>66</v>
      </c>
      <c r="E701" s="1800" t="s">
        <v>411</v>
      </c>
      <c r="F701" s="1807">
        <v>0.13400000000000001</v>
      </c>
      <c r="G701" s="1801">
        <v>19.45</v>
      </c>
      <c r="H701" s="1802">
        <f t="shared" si="94"/>
        <v>19.45</v>
      </c>
      <c r="I701" s="1803">
        <f t="shared" si="95"/>
        <v>2.6</v>
      </c>
      <c r="J701" s="1795"/>
    </row>
    <row r="702" spans="1:10" ht="48">
      <c r="A702" s="1797" t="s">
        <v>2476</v>
      </c>
      <c r="B702" s="1798" t="s">
        <v>7</v>
      </c>
      <c r="C702" s="1798">
        <v>90279</v>
      </c>
      <c r="D702" s="1799" t="s">
        <v>2653</v>
      </c>
      <c r="E702" s="1800" t="s">
        <v>1171</v>
      </c>
      <c r="F702" s="1807">
        <v>1.4E-2</v>
      </c>
      <c r="G702" s="1801">
        <v>642.92999999999995</v>
      </c>
      <c r="H702" s="1802">
        <f t="shared" si="94"/>
        <v>639.65</v>
      </c>
      <c r="I702" s="1803">
        <f t="shared" si="95"/>
        <v>8.9499999999999993</v>
      </c>
      <c r="J702" s="1795"/>
    </row>
    <row r="703" spans="1:10" ht="24">
      <c r="A703" s="1797" t="s">
        <v>2476</v>
      </c>
      <c r="B703" s="1798" t="s">
        <v>7</v>
      </c>
      <c r="C703" s="1798">
        <v>92801</v>
      </c>
      <c r="D703" s="1799" t="s">
        <v>2635</v>
      </c>
      <c r="E703" s="1800" t="s">
        <v>1184</v>
      </c>
      <c r="F703" s="1807">
        <v>0.49</v>
      </c>
      <c r="G703" s="1801">
        <v>12.86</v>
      </c>
      <c r="H703" s="1802">
        <f t="shared" si="94"/>
        <v>12.79</v>
      </c>
      <c r="I703" s="1803">
        <f t="shared" si="95"/>
        <v>6.26</v>
      </c>
      <c r="J703" s="1795"/>
    </row>
    <row r="704" spans="1:10">
      <c r="A704" s="1943" t="s">
        <v>2477</v>
      </c>
      <c r="B704" s="1944"/>
      <c r="C704" s="1944"/>
      <c r="D704" s="1944"/>
      <c r="E704" s="1944"/>
      <c r="F704" s="1944"/>
      <c r="G704" s="1944"/>
      <c r="H704" s="1945"/>
      <c r="I704" s="1805">
        <f>SUM(I698:I703)</f>
        <v>43.24</v>
      </c>
      <c r="J704" s="1795"/>
    </row>
    <row r="705" spans="1:10">
      <c r="A705" s="1929"/>
      <c r="B705" s="1930"/>
      <c r="C705" s="1930"/>
      <c r="D705" s="1930"/>
      <c r="E705" s="1930"/>
      <c r="F705" s="1930"/>
      <c r="G705" s="1930"/>
      <c r="H705" s="1930"/>
      <c r="I705" s="1931"/>
      <c r="J705" s="1795"/>
    </row>
    <row r="706" spans="1:10" ht="22.5" customHeight="1">
      <c r="A706" s="1784">
        <f>'PLANILHA SEM DESON'!B103</f>
        <v>93199</v>
      </c>
      <c r="B706" s="1940" t="str">
        <f>VLOOKUP(A706,'PLANILHA SEM DESON'!$B$17:$D$1700,2,FALSE)</f>
        <v>CONTRAVERGA MOLDADA IN LOCO COM UTILIZAÇÃO DE BLOCOS CANALETA PARA VÃOS DE MAIS DE 1,5 M DE COMPRIMENTO. AF_03/2016</v>
      </c>
      <c r="C706" s="1941"/>
      <c r="D706" s="1941"/>
      <c r="E706" s="1941"/>
      <c r="F706" s="1941"/>
      <c r="G706" s="1941"/>
      <c r="H706" s="1942"/>
      <c r="I706" s="1785" t="str">
        <f>VLOOKUP(A706,'PLANILHA SEM DESON'!$B$17:$D$1700,3,FALSE)</f>
        <v>m</v>
      </c>
      <c r="J706" s="1786">
        <f>I714</f>
        <v>42.699999999999996</v>
      </c>
    </row>
    <row r="707" spans="1:10" ht="24">
      <c r="A707" s="1788" t="s">
        <v>2470</v>
      </c>
      <c r="B707" s="1789" t="s">
        <v>2471</v>
      </c>
      <c r="C707" s="1790" t="s">
        <v>2468</v>
      </c>
      <c r="D707" s="1791" t="s">
        <v>308</v>
      </c>
      <c r="E707" s="1790" t="s">
        <v>202</v>
      </c>
      <c r="F707" s="1792" t="s">
        <v>2472</v>
      </c>
      <c r="G707" s="1790" t="s">
        <v>2473</v>
      </c>
      <c r="H707" s="1793" t="s">
        <v>2474</v>
      </c>
      <c r="I707" s="1794" t="s">
        <v>2475</v>
      </c>
      <c r="J707" s="1795"/>
    </row>
    <row r="708" spans="1:10" ht="24">
      <c r="A708" s="1797" t="s">
        <v>2476</v>
      </c>
      <c r="B708" s="1798" t="s">
        <v>2479</v>
      </c>
      <c r="C708" s="1798">
        <v>660</v>
      </c>
      <c r="D708" s="1799" t="s">
        <v>2651</v>
      </c>
      <c r="E708" s="1800" t="s">
        <v>2501</v>
      </c>
      <c r="F708" s="1807">
        <v>5.34</v>
      </c>
      <c r="G708" s="1801">
        <v>3.35</v>
      </c>
      <c r="H708" s="1802">
        <f t="shared" ref="H708:H713" si="96">IF(E708="H",G708,TRUNC(G708*(1-$K$7),2))</f>
        <v>3.33</v>
      </c>
      <c r="I708" s="1803">
        <f t="shared" ref="I708:I713" si="97">TRUNC(H708*F708,2)</f>
        <v>17.78</v>
      </c>
      <c r="J708" s="1795"/>
    </row>
    <row r="709" spans="1:10" ht="60">
      <c r="A709" s="1797" t="s">
        <v>2476</v>
      </c>
      <c r="B709" s="1798" t="s">
        <v>7</v>
      </c>
      <c r="C709" s="1798">
        <v>87294</v>
      </c>
      <c r="D709" s="1799" t="s">
        <v>2652</v>
      </c>
      <c r="E709" s="1800" t="s">
        <v>1171</v>
      </c>
      <c r="F709" s="1807">
        <v>1.9E-3</v>
      </c>
      <c r="G709" s="1801">
        <v>553.63</v>
      </c>
      <c r="H709" s="1802">
        <f t="shared" si="96"/>
        <v>550.79999999999995</v>
      </c>
      <c r="I709" s="1803">
        <f t="shared" si="97"/>
        <v>1.04</v>
      </c>
      <c r="J709" s="1795"/>
    </row>
    <row r="710" spans="1:10">
      <c r="A710" s="1797" t="s">
        <v>2476</v>
      </c>
      <c r="B710" s="1798" t="s">
        <v>7</v>
      </c>
      <c r="C710" s="1798">
        <v>88309</v>
      </c>
      <c r="D710" s="1799" t="s">
        <v>103</v>
      </c>
      <c r="E710" s="1800" t="s">
        <v>411</v>
      </c>
      <c r="F710" s="1807">
        <v>0.253</v>
      </c>
      <c r="G710" s="1801">
        <v>24.59</v>
      </c>
      <c r="H710" s="1802">
        <f t="shared" si="96"/>
        <v>24.59</v>
      </c>
      <c r="I710" s="1803">
        <f t="shared" si="97"/>
        <v>6.22</v>
      </c>
      <c r="J710" s="1795"/>
    </row>
    <row r="711" spans="1:10">
      <c r="A711" s="1797" t="s">
        <v>2476</v>
      </c>
      <c r="B711" s="1798" t="s">
        <v>7</v>
      </c>
      <c r="C711" s="1798">
        <v>88316</v>
      </c>
      <c r="D711" s="1799" t="s">
        <v>66</v>
      </c>
      <c r="E711" s="1800" t="s">
        <v>411</v>
      </c>
      <c r="F711" s="1807">
        <v>0.126</v>
      </c>
      <c r="G711" s="1801">
        <v>19.45</v>
      </c>
      <c r="H711" s="1802">
        <f t="shared" si="96"/>
        <v>19.45</v>
      </c>
      <c r="I711" s="1803">
        <f t="shared" si="97"/>
        <v>2.4500000000000002</v>
      </c>
      <c r="J711" s="1795"/>
    </row>
    <row r="712" spans="1:10" ht="48">
      <c r="A712" s="1797" t="s">
        <v>2476</v>
      </c>
      <c r="B712" s="1798" t="s">
        <v>7</v>
      </c>
      <c r="C712" s="1798">
        <v>90279</v>
      </c>
      <c r="D712" s="1799" t="s">
        <v>2653</v>
      </c>
      <c r="E712" s="1800" t="s">
        <v>1171</v>
      </c>
      <c r="F712" s="1807">
        <v>1.4E-2</v>
      </c>
      <c r="G712" s="1801">
        <v>642.92999999999995</v>
      </c>
      <c r="H712" s="1802">
        <f t="shared" si="96"/>
        <v>639.65</v>
      </c>
      <c r="I712" s="1803">
        <f t="shared" si="97"/>
        <v>8.9499999999999993</v>
      </c>
      <c r="J712" s="1795"/>
    </row>
    <row r="713" spans="1:10" ht="24">
      <c r="A713" s="1797" t="s">
        <v>2476</v>
      </c>
      <c r="B713" s="1798" t="s">
        <v>7</v>
      </c>
      <c r="C713" s="1798">
        <v>92801</v>
      </c>
      <c r="D713" s="1799" t="s">
        <v>2635</v>
      </c>
      <c r="E713" s="1800" t="s">
        <v>1184</v>
      </c>
      <c r="F713" s="1807">
        <v>0.49</v>
      </c>
      <c r="G713" s="1801">
        <v>12.86</v>
      </c>
      <c r="H713" s="1802">
        <f t="shared" si="96"/>
        <v>12.79</v>
      </c>
      <c r="I713" s="1803">
        <f t="shared" si="97"/>
        <v>6.26</v>
      </c>
      <c r="J713" s="1795"/>
    </row>
    <row r="714" spans="1:10">
      <c r="A714" s="1943" t="s">
        <v>2477</v>
      </c>
      <c r="B714" s="1944"/>
      <c r="C714" s="1944"/>
      <c r="D714" s="1944"/>
      <c r="E714" s="1944"/>
      <c r="F714" s="1944"/>
      <c r="G714" s="1944"/>
      <c r="H714" s="1945"/>
      <c r="I714" s="1805">
        <f>SUM(I708:I713)</f>
        <v>42.699999999999996</v>
      </c>
      <c r="J714" s="1795"/>
    </row>
    <row r="715" spans="1:10">
      <c r="A715" s="1929"/>
      <c r="B715" s="1930"/>
      <c r="C715" s="1930"/>
      <c r="D715" s="1930"/>
      <c r="E715" s="1930"/>
      <c r="F715" s="1930"/>
      <c r="G715" s="1930"/>
      <c r="H715" s="1930"/>
      <c r="I715" s="1931"/>
      <c r="J715" s="1795"/>
    </row>
    <row r="716" spans="1:10">
      <c r="A716" s="1784" t="str">
        <f>'PLANILHA SEM DESON'!B106</f>
        <v>COMP 13</v>
      </c>
      <c r="B716" s="1940" t="str">
        <f>VLOOKUP(A716,'PLANILHA SEM DESON'!$B$17:$D$1700,2,FALSE)</f>
        <v>APILOAMENTO DE SOLO, PARA RECEBIMENTO DE LASTRO, COM MAÇO DE 30KG</v>
      </c>
      <c r="C716" s="1941"/>
      <c r="D716" s="1941"/>
      <c r="E716" s="1941"/>
      <c r="F716" s="1941"/>
      <c r="G716" s="1941"/>
      <c r="H716" s="1942"/>
      <c r="I716" s="1785" t="str">
        <f>VLOOKUP(A716,'PLANILHA SEM DESON'!$B$17:$D$1700,3,FALSE)</f>
        <v>m²</v>
      </c>
      <c r="J716" s="1786">
        <f>I719</f>
        <v>14.58</v>
      </c>
    </row>
    <row r="717" spans="1:10" ht="24">
      <c r="A717" s="1788" t="s">
        <v>2470</v>
      </c>
      <c r="B717" s="1789" t="s">
        <v>2471</v>
      </c>
      <c r="C717" s="1790" t="s">
        <v>2468</v>
      </c>
      <c r="D717" s="1791" t="s">
        <v>308</v>
      </c>
      <c r="E717" s="1790" t="s">
        <v>202</v>
      </c>
      <c r="F717" s="1792" t="s">
        <v>2472</v>
      </c>
      <c r="G717" s="1790" t="s">
        <v>2473</v>
      </c>
      <c r="H717" s="1793" t="s">
        <v>2474</v>
      </c>
      <c r="I717" s="1794" t="s">
        <v>2475</v>
      </c>
      <c r="J717" s="1795"/>
    </row>
    <row r="718" spans="1:10">
      <c r="A718" s="1797"/>
      <c r="B718" s="1798"/>
      <c r="C718" s="1798">
        <v>88316</v>
      </c>
      <c r="D718" s="1799" t="s">
        <v>66</v>
      </c>
      <c r="E718" s="1800" t="s">
        <v>57</v>
      </c>
      <c r="F718" s="1806">
        <v>0.75</v>
      </c>
      <c r="G718" s="1808">
        <v>19.45</v>
      </c>
      <c r="H718" s="1802">
        <f>IF(E718="H",G718,TRUNC(G718*(1-$K$7),2))</f>
        <v>19.45</v>
      </c>
      <c r="I718" s="1803">
        <f t="shared" ref="I718" si="98">TRUNC(H718*F718,2)</f>
        <v>14.58</v>
      </c>
      <c r="J718" s="1795"/>
    </row>
    <row r="719" spans="1:10">
      <c r="A719" s="1943" t="s">
        <v>2477</v>
      </c>
      <c r="B719" s="1944"/>
      <c r="C719" s="1944"/>
      <c r="D719" s="1944"/>
      <c r="E719" s="1944"/>
      <c r="F719" s="1944"/>
      <c r="G719" s="1944"/>
      <c r="H719" s="1945"/>
      <c r="I719" s="1805">
        <f>SUM(I718:I718)</f>
        <v>14.58</v>
      </c>
      <c r="J719" s="1795"/>
    </row>
    <row r="720" spans="1:10">
      <c r="A720" s="1929"/>
      <c r="B720" s="1930"/>
      <c r="C720" s="1930"/>
      <c r="D720" s="1930"/>
      <c r="E720" s="1930"/>
      <c r="F720" s="1930"/>
      <c r="G720" s="1930"/>
      <c r="H720" s="1930"/>
      <c r="I720" s="1931"/>
      <c r="J720" s="1795"/>
    </row>
    <row r="721" spans="1:10">
      <c r="A721" s="1784">
        <f>'PLANILHA SEM DESON'!B107</f>
        <v>95241</v>
      </c>
      <c r="B721" s="1940" t="str">
        <f>VLOOKUP(A721,'PLANILHA SEM DESON'!$B$17:$D$1700,2,FALSE)</f>
        <v>LASTRO DE CONCRETO MAGRO, APLICADO EM PISOS OU RADIERS, ESPESSURA DE 5CM. AF_07/2016</v>
      </c>
      <c r="C721" s="1941"/>
      <c r="D721" s="1941"/>
      <c r="E721" s="1941"/>
      <c r="F721" s="1941"/>
      <c r="G721" s="1941"/>
      <c r="H721" s="1942"/>
      <c r="I721" s="1785" t="str">
        <f>VLOOKUP(A721,'PLANILHA SEM DESON'!$B$17:$D$1700,3,FALSE)</f>
        <v>m²</v>
      </c>
      <c r="J721" s="1786">
        <f>I726</f>
        <v>32.69</v>
      </c>
    </row>
    <row r="722" spans="1:10" ht="24">
      <c r="A722" s="1788" t="s">
        <v>2470</v>
      </c>
      <c r="B722" s="1789" t="s">
        <v>2471</v>
      </c>
      <c r="C722" s="1790" t="s">
        <v>2468</v>
      </c>
      <c r="D722" s="1791" t="s">
        <v>308</v>
      </c>
      <c r="E722" s="1790" t="s">
        <v>202</v>
      </c>
      <c r="F722" s="1792" t="s">
        <v>2472</v>
      </c>
      <c r="G722" s="1790" t="s">
        <v>2473</v>
      </c>
      <c r="H722" s="1793" t="s">
        <v>2474</v>
      </c>
      <c r="I722" s="1794" t="s">
        <v>2475</v>
      </c>
      <c r="J722" s="1795"/>
    </row>
    <row r="723" spans="1:10">
      <c r="A723" s="1797" t="s">
        <v>2476</v>
      </c>
      <c r="B723" s="1798" t="s">
        <v>7</v>
      </c>
      <c r="C723" s="1798">
        <v>88309</v>
      </c>
      <c r="D723" s="1799" t="s">
        <v>103</v>
      </c>
      <c r="E723" s="1800" t="s">
        <v>411</v>
      </c>
      <c r="F723" s="1807">
        <v>0.27179999999999999</v>
      </c>
      <c r="G723" s="1801">
        <v>24.59</v>
      </c>
      <c r="H723" s="1802">
        <f>IF(E723="H",G723,TRUNC(G723*(1-$K$7),2))</f>
        <v>24.59</v>
      </c>
      <c r="I723" s="1803">
        <f t="shared" ref="I723:I725" si="99">TRUNC(H723*F723,2)</f>
        <v>6.68</v>
      </c>
      <c r="J723" s="1795"/>
    </row>
    <row r="724" spans="1:10">
      <c r="A724" s="1797" t="s">
        <v>2476</v>
      </c>
      <c r="B724" s="1798" t="s">
        <v>7</v>
      </c>
      <c r="C724" s="1798">
        <v>88316</v>
      </c>
      <c r="D724" s="1799" t="s">
        <v>66</v>
      </c>
      <c r="E724" s="1800" t="s">
        <v>411</v>
      </c>
      <c r="F724" s="1807">
        <v>7.4099999999999999E-2</v>
      </c>
      <c r="G724" s="1801">
        <v>19.45</v>
      </c>
      <c r="H724" s="1802">
        <f>IF(E724="H",G724,TRUNC(G724*(1-$K$7),2))</f>
        <v>19.45</v>
      </c>
      <c r="I724" s="1803">
        <f t="shared" si="99"/>
        <v>1.44</v>
      </c>
      <c r="J724" s="1795"/>
    </row>
    <row r="725" spans="1:10" ht="48">
      <c r="A725" s="1797" t="s">
        <v>2476</v>
      </c>
      <c r="B725" s="1798" t="s">
        <v>7</v>
      </c>
      <c r="C725" s="1798">
        <v>94968</v>
      </c>
      <c r="D725" s="1799" t="s">
        <v>2656</v>
      </c>
      <c r="E725" s="1800" t="s">
        <v>1171</v>
      </c>
      <c r="F725" s="1807">
        <v>5.6500000000000002E-2</v>
      </c>
      <c r="G725" s="1801">
        <v>437.18</v>
      </c>
      <c r="H725" s="1802">
        <f>IF(E725="H",G725,TRUNC(G725*(1-$K$7),2))</f>
        <v>434.95</v>
      </c>
      <c r="I725" s="1803">
        <f t="shared" si="99"/>
        <v>24.57</v>
      </c>
      <c r="J725" s="1795"/>
    </row>
    <row r="726" spans="1:10">
      <c r="A726" s="1943" t="s">
        <v>2477</v>
      </c>
      <c r="B726" s="1944"/>
      <c r="C726" s="1944"/>
      <c r="D726" s="1944"/>
      <c r="E726" s="1944"/>
      <c r="F726" s="1944"/>
      <c r="G726" s="1944"/>
      <c r="H726" s="1945"/>
      <c r="I726" s="1805">
        <f>SUM(I723:I725)</f>
        <v>32.69</v>
      </c>
      <c r="J726" s="1795"/>
    </row>
    <row r="727" spans="1:10">
      <c r="A727" s="1929"/>
      <c r="B727" s="1930"/>
      <c r="C727" s="1930"/>
      <c r="D727" s="1930"/>
      <c r="E727" s="1930"/>
      <c r="F727" s="1930"/>
      <c r="G727" s="1930"/>
      <c r="H727" s="1930"/>
      <c r="I727" s="1931"/>
      <c r="J727" s="1795"/>
    </row>
    <row r="728" spans="1:10" ht="34.5" customHeight="1">
      <c r="A728" s="1784">
        <f>'PLANILHA SEM DESON'!B108</f>
        <v>94438</v>
      </c>
      <c r="B728" s="1940" t="str">
        <f>VLOOKUP(A728,'PLANILHA SEM DESON'!$B$17:$D$1700,2,FALSE)</f>
        <v>(COMPOSIÇÃO REPRESENTATIVA) DO SERVIÇO DE CONTRAPISO EM ARGAMASSA TRAÇO 1:4 (CIM E AREIA), EM BETONEIRA 400 L, ESPESSURA 3 CM ÁREAS SECAS E 3 CM ÁREAS MOLHADAS, PARA EDIFICAÇÃO HABITACIONAL UNIFAMILIAR (CASA) EEDIFICAÇÃO PÚBLICA PADRÃO. AF_11/2014</v>
      </c>
      <c r="C728" s="1941"/>
      <c r="D728" s="1941"/>
      <c r="E728" s="1941"/>
      <c r="F728" s="1941"/>
      <c r="G728" s="1941"/>
      <c r="H728" s="1942"/>
      <c r="I728" s="1785" t="str">
        <f>VLOOKUP(A728,'PLANILHA SEM DESON'!$B$17:$D$1700,3,FALSE)</f>
        <v>m²</v>
      </c>
      <c r="J728" s="1786">
        <f>I733</f>
        <v>46.4</v>
      </c>
    </row>
    <row r="729" spans="1:10" ht="24">
      <c r="A729" s="1788" t="s">
        <v>2470</v>
      </c>
      <c r="B729" s="1789" t="s">
        <v>2471</v>
      </c>
      <c r="C729" s="1790" t="s">
        <v>2468</v>
      </c>
      <c r="D729" s="1791" t="s">
        <v>308</v>
      </c>
      <c r="E729" s="1790" t="s">
        <v>202</v>
      </c>
      <c r="F729" s="1792" t="s">
        <v>2472</v>
      </c>
      <c r="G729" s="1790" t="s">
        <v>2473</v>
      </c>
      <c r="H729" s="1793" t="s">
        <v>2474</v>
      </c>
      <c r="I729" s="1794" t="s">
        <v>2475</v>
      </c>
      <c r="J729" s="1795"/>
    </row>
    <row r="730" spans="1:10" ht="60">
      <c r="A730" s="1797" t="s">
        <v>2476</v>
      </c>
      <c r="B730" s="1798" t="s">
        <v>7</v>
      </c>
      <c r="C730" s="1798">
        <v>87630</v>
      </c>
      <c r="D730" s="1799" t="s">
        <v>2657</v>
      </c>
      <c r="E730" s="1800" t="s">
        <v>1176</v>
      </c>
      <c r="F730" s="1807">
        <v>0.6381</v>
      </c>
      <c r="G730" s="1801">
        <v>43.33</v>
      </c>
      <c r="H730" s="1802">
        <f>IF(E730="H",G730,TRUNC(G730*(1-$K$7),2))</f>
        <v>43.1</v>
      </c>
      <c r="I730" s="1803">
        <f t="shared" ref="I730:I732" si="100">TRUNC(H730*F730,2)</f>
        <v>27.5</v>
      </c>
      <c r="J730" s="1795"/>
    </row>
    <row r="731" spans="1:10" ht="60">
      <c r="A731" s="1797" t="s">
        <v>2476</v>
      </c>
      <c r="B731" s="1798" t="s">
        <v>7</v>
      </c>
      <c r="C731" s="1798">
        <v>87745</v>
      </c>
      <c r="D731" s="1799" t="s">
        <v>2658</v>
      </c>
      <c r="E731" s="1800" t="s">
        <v>1176</v>
      </c>
      <c r="F731" s="1807">
        <v>0.1996</v>
      </c>
      <c r="G731" s="1801">
        <v>54.15</v>
      </c>
      <c r="H731" s="1802">
        <f>IF(E731="H",G731,TRUNC(G731*(1-$K$7),2))</f>
        <v>53.87</v>
      </c>
      <c r="I731" s="1803">
        <f t="shared" si="100"/>
        <v>10.75</v>
      </c>
      <c r="J731" s="1795"/>
    </row>
    <row r="732" spans="1:10" ht="60">
      <c r="A732" s="1797" t="s">
        <v>2476</v>
      </c>
      <c r="B732" s="1798" t="s">
        <v>7</v>
      </c>
      <c r="C732" s="1798">
        <v>87755</v>
      </c>
      <c r="D732" s="1799" t="s">
        <v>2659</v>
      </c>
      <c r="E732" s="1800" t="s">
        <v>1176</v>
      </c>
      <c r="F732" s="1807">
        <v>0.1623</v>
      </c>
      <c r="G732" s="1801">
        <v>50.5</v>
      </c>
      <c r="H732" s="1802">
        <f>IF(E732="H",G732,TRUNC(G732*(1-$K$7),2))</f>
        <v>50.24</v>
      </c>
      <c r="I732" s="1803">
        <f t="shared" si="100"/>
        <v>8.15</v>
      </c>
      <c r="J732" s="1795"/>
    </row>
    <row r="733" spans="1:10">
      <c r="A733" s="1943" t="s">
        <v>2477</v>
      </c>
      <c r="B733" s="1944"/>
      <c r="C733" s="1944"/>
      <c r="D733" s="1944"/>
      <c r="E733" s="1944"/>
      <c r="F733" s="1944"/>
      <c r="G733" s="1944"/>
      <c r="H733" s="1945"/>
      <c r="I733" s="1805">
        <f>SUM(I730:I732)</f>
        <v>46.4</v>
      </c>
      <c r="J733" s="1795"/>
    </row>
    <row r="734" spans="1:10">
      <c r="A734" s="1929"/>
      <c r="B734" s="1930"/>
      <c r="C734" s="1930"/>
      <c r="D734" s="1930"/>
      <c r="E734" s="1930"/>
      <c r="F734" s="1930"/>
      <c r="G734" s="1930"/>
      <c r="H734" s="1930"/>
      <c r="I734" s="1931"/>
      <c r="J734" s="1795"/>
    </row>
    <row r="735" spans="1:10" ht="30.75" customHeight="1">
      <c r="A735" s="1784">
        <f>'PLANILHA SEM DESON'!B109</f>
        <v>87261</v>
      </c>
      <c r="B735" s="1940" t="str">
        <f>VLOOKUP(A735,'PLANILHA SEM DESON'!$B$17:$D$1700,2,FALSE)</f>
        <v>REVESTIMENTO CERÂMICO PARA PISO COM PLACAS TIPO PORCELANATO DE DIMENSÕES 60X60 CM APLICADA EM AMBIENTES DE ÁREA MENOR QUE 5 M². AF_06/2014</v>
      </c>
      <c r="C735" s="1941"/>
      <c r="D735" s="1941"/>
      <c r="E735" s="1941"/>
      <c r="F735" s="1941"/>
      <c r="G735" s="1941"/>
      <c r="H735" s="1942"/>
      <c r="I735" s="1785" t="str">
        <f>VLOOKUP(A735,'PLANILHA SEM DESON'!$B$17:$D$1700,3,FALSE)</f>
        <v>m²</v>
      </c>
      <c r="J735" s="1786">
        <f>I742</f>
        <v>183.22</v>
      </c>
    </row>
    <row r="736" spans="1:10" ht="24">
      <c r="A736" s="1788" t="s">
        <v>2470</v>
      </c>
      <c r="B736" s="1789" t="s">
        <v>2471</v>
      </c>
      <c r="C736" s="1790" t="s">
        <v>2468</v>
      </c>
      <c r="D736" s="1791" t="s">
        <v>308</v>
      </c>
      <c r="E736" s="1790" t="s">
        <v>202</v>
      </c>
      <c r="F736" s="1792" t="s">
        <v>2472</v>
      </c>
      <c r="G736" s="1790" t="s">
        <v>2473</v>
      </c>
      <c r="H736" s="1793" t="s">
        <v>2474</v>
      </c>
      <c r="I736" s="1794" t="s">
        <v>2475</v>
      </c>
      <c r="J736" s="1795"/>
    </row>
    <row r="737" spans="1:10">
      <c r="A737" s="1797" t="s">
        <v>2476</v>
      </c>
      <c r="B737" s="1798" t="s">
        <v>2479</v>
      </c>
      <c r="C737" s="1798">
        <v>34357</v>
      </c>
      <c r="D737" s="1799" t="s">
        <v>1478</v>
      </c>
      <c r="E737" s="1800" t="s">
        <v>1184</v>
      </c>
      <c r="F737" s="1807">
        <v>0.14000000000000001</v>
      </c>
      <c r="G737" s="1801">
        <v>5.87</v>
      </c>
      <c r="H737" s="1802">
        <f>IF(E737="H",G737,TRUNC(G737*(1-$K$7),2))</f>
        <v>5.84</v>
      </c>
      <c r="I737" s="1803">
        <f t="shared" ref="I737:I741" si="101">TRUNC(H737*F737,2)</f>
        <v>0.81</v>
      </c>
      <c r="J737" s="1795"/>
    </row>
    <row r="738" spans="1:10">
      <c r="A738" s="1797" t="s">
        <v>2476</v>
      </c>
      <c r="B738" s="1798" t="s">
        <v>2479</v>
      </c>
      <c r="C738" s="1798">
        <v>37595</v>
      </c>
      <c r="D738" s="1799" t="s">
        <v>568</v>
      </c>
      <c r="E738" s="1800" t="s">
        <v>1184</v>
      </c>
      <c r="F738" s="1807">
        <v>8.6199999999999992</v>
      </c>
      <c r="G738" s="1801">
        <v>3.07</v>
      </c>
      <c r="H738" s="1802">
        <f>IF(E738="H",G738,TRUNC(G738*(1-$K$7),2))</f>
        <v>3.05</v>
      </c>
      <c r="I738" s="1803">
        <f t="shared" si="101"/>
        <v>26.29</v>
      </c>
      <c r="J738" s="1795"/>
    </row>
    <row r="739" spans="1:10" ht="24">
      <c r="A739" s="1797" t="s">
        <v>2476</v>
      </c>
      <c r="B739" s="1798" t="s">
        <v>2479</v>
      </c>
      <c r="C739" s="1798">
        <v>38195</v>
      </c>
      <c r="D739" s="1799" t="s">
        <v>2660</v>
      </c>
      <c r="E739" s="1800" t="s">
        <v>1176</v>
      </c>
      <c r="F739" s="1807">
        <v>1.1200000000000001</v>
      </c>
      <c r="G739" s="1801">
        <v>110.38</v>
      </c>
      <c r="H739" s="1802">
        <f>IF(E739="H",G739,TRUNC(G739*(1-$K$7),2))</f>
        <v>109.81</v>
      </c>
      <c r="I739" s="1803">
        <f t="shared" si="101"/>
        <v>122.98</v>
      </c>
      <c r="J739" s="1795"/>
    </row>
    <row r="740" spans="1:10" ht="24">
      <c r="A740" s="1797" t="s">
        <v>2476</v>
      </c>
      <c r="B740" s="1798" t="s">
        <v>7</v>
      </c>
      <c r="C740" s="1798">
        <v>88256</v>
      </c>
      <c r="D740" s="1799" t="s">
        <v>1477</v>
      </c>
      <c r="E740" s="1800" t="s">
        <v>411</v>
      </c>
      <c r="F740" s="1807">
        <v>1.06</v>
      </c>
      <c r="G740" s="1801">
        <v>24.49</v>
      </c>
      <c r="H740" s="1802">
        <f>IF(E740="H",G740,TRUNC(G740*(1-$K$7),2))</f>
        <v>24.49</v>
      </c>
      <c r="I740" s="1803">
        <f t="shared" si="101"/>
        <v>25.95</v>
      </c>
      <c r="J740" s="1795"/>
    </row>
    <row r="741" spans="1:10">
      <c r="A741" s="1797" t="s">
        <v>2476</v>
      </c>
      <c r="B741" s="1798" t="s">
        <v>7</v>
      </c>
      <c r="C741" s="1798">
        <v>88316</v>
      </c>
      <c r="D741" s="1799" t="s">
        <v>66</v>
      </c>
      <c r="E741" s="1800" t="s">
        <v>411</v>
      </c>
      <c r="F741" s="1807">
        <v>0.37</v>
      </c>
      <c r="G741" s="1801">
        <v>19.45</v>
      </c>
      <c r="H741" s="1802">
        <f>IF(E741="H",G741,TRUNC(G741*(1-$K$7),2))</f>
        <v>19.45</v>
      </c>
      <c r="I741" s="1803">
        <f t="shared" si="101"/>
        <v>7.19</v>
      </c>
      <c r="J741" s="1795"/>
    </row>
    <row r="742" spans="1:10">
      <c r="A742" s="1943" t="s">
        <v>2477</v>
      </c>
      <c r="B742" s="1944"/>
      <c r="C742" s="1944"/>
      <c r="D742" s="1944"/>
      <c r="E742" s="1944"/>
      <c r="F742" s="1944"/>
      <c r="G742" s="1944"/>
      <c r="H742" s="1945"/>
      <c r="I742" s="1805">
        <f>SUM(I737:I741)</f>
        <v>183.22</v>
      </c>
      <c r="J742" s="1795"/>
    </row>
    <row r="743" spans="1:10">
      <c r="A743" s="1929"/>
      <c r="B743" s="1930"/>
      <c r="C743" s="1930"/>
      <c r="D743" s="1930"/>
      <c r="E743" s="1930"/>
      <c r="F743" s="1930"/>
      <c r="G743" s="1930"/>
      <c r="H743" s="1930"/>
      <c r="I743" s="1931"/>
      <c r="J743" s="1795"/>
    </row>
    <row r="744" spans="1:10" ht="27.75" customHeight="1">
      <c r="A744" s="1784">
        <f>'PLANILHA SEM DESON'!B110</f>
        <v>87262</v>
      </c>
      <c r="B744" s="1940" t="str">
        <f>VLOOKUP(A744,'PLANILHA SEM DESON'!$B$17:$D$1700,2,FALSE)</f>
        <v>REVESTIMENTO CERÂMICO PARA PISO COM PLACAS TIPO PORCELANATO DE DIMENSÕES 60X60 CM APLICADA EM AMBIENTES DE ÁREA ENTRE 5 M² E 10 M². AF_06/2014</v>
      </c>
      <c r="C744" s="1941"/>
      <c r="D744" s="1941"/>
      <c r="E744" s="1941"/>
      <c r="F744" s="1941"/>
      <c r="G744" s="1941"/>
      <c r="H744" s="1942"/>
      <c r="I744" s="1785" t="str">
        <f>VLOOKUP(A744,'PLANILHA SEM DESON'!$B$17:$D$1700,3,FALSE)</f>
        <v>m²</v>
      </c>
      <c r="J744" s="1786">
        <f>I751</f>
        <v>168.07999999999998</v>
      </c>
    </row>
    <row r="745" spans="1:10" ht="24">
      <c r="A745" s="1788" t="s">
        <v>2470</v>
      </c>
      <c r="B745" s="1789" t="s">
        <v>2471</v>
      </c>
      <c r="C745" s="1790" t="s">
        <v>2468</v>
      </c>
      <c r="D745" s="1791" t="s">
        <v>308</v>
      </c>
      <c r="E745" s="1790" t="s">
        <v>202</v>
      </c>
      <c r="F745" s="1792" t="s">
        <v>2472</v>
      </c>
      <c r="G745" s="1790" t="s">
        <v>2473</v>
      </c>
      <c r="H745" s="1793" t="s">
        <v>2474</v>
      </c>
      <c r="I745" s="1794" t="s">
        <v>2475</v>
      </c>
      <c r="J745" s="1795"/>
    </row>
    <row r="746" spans="1:10">
      <c r="A746" s="1797" t="s">
        <v>2476</v>
      </c>
      <c r="B746" s="1798" t="s">
        <v>2479</v>
      </c>
      <c r="C746" s="1798">
        <v>34357</v>
      </c>
      <c r="D746" s="1799" t="s">
        <v>1478</v>
      </c>
      <c r="E746" s="1800" t="s">
        <v>1184</v>
      </c>
      <c r="F746" s="1807">
        <v>0.14000000000000001</v>
      </c>
      <c r="G746" s="1801">
        <v>5.87</v>
      </c>
      <c r="H746" s="1802">
        <f>IF(E746="H",G746,TRUNC(G746*(1-$K$7),2))</f>
        <v>5.84</v>
      </c>
      <c r="I746" s="1803">
        <f t="shared" ref="I746:I750" si="102">TRUNC(H746*F746,2)</f>
        <v>0.81</v>
      </c>
      <c r="J746" s="1795"/>
    </row>
    <row r="747" spans="1:10">
      <c r="A747" s="1797" t="s">
        <v>2476</v>
      </c>
      <c r="B747" s="1798" t="s">
        <v>2479</v>
      </c>
      <c r="C747" s="1798">
        <v>37595</v>
      </c>
      <c r="D747" s="1799" t="s">
        <v>568</v>
      </c>
      <c r="E747" s="1800" t="s">
        <v>1184</v>
      </c>
      <c r="F747" s="1807">
        <v>8.6199999999999992</v>
      </c>
      <c r="G747" s="1801">
        <v>3.07</v>
      </c>
      <c r="H747" s="1802">
        <f>IF(E747="H",G747,TRUNC(G747*(1-$K$7),2))</f>
        <v>3.05</v>
      </c>
      <c r="I747" s="1803">
        <f t="shared" si="102"/>
        <v>26.29</v>
      </c>
      <c r="J747" s="1795"/>
    </row>
    <row r="748" spans="1:10" ht="24">
      <c r="A748" s="1797" t="s">
        <v>2476</v>
      </c>
      <c r="B748" s="1798" t="s">
        <v>2479</v>
      </c>
      <c r="C748" s="1798">
        <v>38195</v>
      </c>
      <c r="D748" s="1799" t="s">
        <v>2660</v>
      </c>
      <c r="E748" s="1800" t="s">
        <v>1176</v>
      </c>
      <c r="F748" s="1807">
        <v>1.08</v>
      </c>
      <c r="G748" s="1801">
        <v>110.38</v>
      </c>
      <c r="H748" s="1802">
        <f>IF(E748="H",G748,TRUNC(G748*(1-$K$7),2))</f>
        <v>109.81</v>
      </c>
      <c r="I748" s="1803">
        <f t="shared" si="102"/>
        <v>118.59</v>
      </c>
      <c r="J748" s="1795"/>
    </row>
    <row r="749" spans="1:10" ht="24">
      <c r="A749" s="1797" t="s">
        <v>2476</v>
      </c>
      <c r="B749" s="1798" t="s">
        <v>7</v>
      </c>
      <c r="C749" s="1798">
        <v>88256</v>
      </c>
      <c r="D749" s="1799" t="s">
        <v>1477</v>
      </c>
      <c r="E749" s="1800" t="s">
        <v>411</v>
      </c>
      <c r="F749" s="1807">
        <v>0.7</v>
      </c>
      <c r="G749" s="1801">
        <v>24.49</v>
      </c>
      <c r="H749" s="1802">
        <f>IF(E749="H",G749,TRUNC(G749*(1-$K$7),2))</f>
        <v>24.49</v>
      </c>
      <c r="I749" s="1803">
        <f t="shared" si="102"/>
        <v>17.14</v>
      </c>
      <c r="J749" s="1795"/>
    </row>
    <row r="750" spans="1:10">
      <c r="A750" s="1797" t="s">
        <v>2476</v>
      </c>
      <c r="B750" s="1798" t="s">
        <v>7</v>
      </c>
      <c r="C750" s="1798">
        <v>88316</v>
      </c>
      <c r="D750" s="1799" t="s">
        <v>66</v>
      </c>
      <c r="E750" s="1800" t="s">
        <v>411</v>
      </c>
      <c r="F750" s="1807">
        <v>0.27</v>
      </c>
      <c r="G750" s="1801">
        <v>19.45</v>
      </c>
      <c r="H750" s="1802">
        <f>IF(E750="H",G750,TRUNC(G750*(1-$K$7),2))</f>
        <v>19.45</v>
      </c>
      <c r="I750" s="1803">
        <f t="shared" si="102"/>
        <v>5.25</v>
      </c>
      <c r="J750" s="1795"/>
    </row>
    <row r="751" spans="1:10">
      <c r="A751" s="1943" t="s">
        <v>2477</v>
      </c>
      <c r="B751" s="1944"/>
      <c r="C751" s="1944"/>
      <c r="D751" s="1944"/>
      <c r="E751" s="1944"/>
      <c r="F751" s="1944"/>
      <c r="G751" s="1944"/>
      <c r="H751" s="1945"/>
      <c r="I751" s="1805">
        <f>SUM(I746:I750)</f>
        <v>168.07999999999998</v>
      </c>
      <c r="J751" s="1795"/>
    </row>
    <row r="752" spans="1:10">
      <c r="A752" s="1929"/>
      <c r="B752" s="1930"/>
      <c r="C752" s="1930"/>
      <c r="D752" s="1930"/>
      <c r="E752" s="1930"/>
      <c r="F752" s="1930"/>
      <c r="G752" s="1930"/>
      <c r="H752" s="1930"/>
      <c r="I752" s="1931"/>
      <c r="J752" s="1795"/>
    </row>
    <row r="753" spans="1:10" ht="25.5" customHeight="1">
      <c r="A753" s="1784">
        <f>'PLANILHA SEM DESON'!B111</f>
        <v>87263</v>
      </c>
      <c r="B753" s="1940" t="str">
        <f>VLOOKUP(A753,'PLANILHA SEM DESON'!$B$17:$D$1700,2,FALSE)</f>
        <v>REVESTIMENTO CERÂMICO PARA PISO COM PLACAS TIPO PORCELANATO DE DIMENSÕES 60X60 CM APLICADA EM AMBIENTES DE ÁREA MAIOR QUE 10 M². AF_06/2014</v>
      </c>
      <c r="C753" s="1941"/>
      <c r="D753" s="1941"/>
      <c r="E753" s="1941"/>
      <c r="F753" s="1941"/>
      <c r="G753" s="1941"/>
      <c r="H753" s="1942"/>
      <c r="I753" s="1785" t="str">
        <f>VLOOKUP(A753,'PLANILHA SEM DESON'!$B$17:$D$1700,3,FALSE)</f>
        <v>m²</v>
      </c>
      <c r="J753" s="1786">
        <f>I760</f>
        <v>159.25</v>
      </c>
    </row>
    <row r="754" spans="1:10" ht="24">
      <c r="A754" s="1788" t="s">
        <v>2470</v>
      </c>
      <c r="B754" s="1789" t="s">
        <v>2471</v>
      </c>
      <c r="C754" s="1790" t="s">
        <v>2468</v>
      </c>
      <c r="D754" s="1791" t="s">
        <v>308</v>
      </c>
      <c r="E754" s="1790" t="s">
        <v>202</v>
      </c>
      <c r="F754" s="1792" t="s">
        <v>2472</v>
      </c>
      <c r="G754" s="1790" t="s">
        <v>2473</v>
      </c>
      <c r="H754" s="1793" t="s">
        <v>2474</v>
      </c>
      <c r="I754" s="1794" t="s">
        <v>2475</v>
      </c>
      <c r="J754" s="1795"/>
    </row>
    <row r="755" spans="1:10">
      <c r="A755" s="1797" t="s">
        <v>2476</v>
      </c>
      <c r="B755" s="1798" t="s">
        <v>2479</v>
      </c>
      <c r="C755" s="1798">
        <v>34357</v>
      </c>
      <c r="D755" s="1799" t="s">
        <v>1478</v>
      </c>
      <c r="E755" s="1800" t="s">
        <v>1184</v>
      </c>
      <c r="F755" s="1807">
        <v>0.14000000000000001</v>
      </c>
      <c r="G755" s="1801">
        <v>5.87</v>
      </c>
      <c r="H755" s="1802">
        <f>IF(E755="H",G755,TRUNC(G755*(1-$K$7),2))</f>
        <v>5.84</v>
      </c>
      <c r="I755" s="1803">
        <f t="shared" ref="I755:I759" si="103">TRUNC(H755*F755,2)</f>
        <v>0.81</v>
      </c>
      <c r="J755" s="1795"/>
    </row>
    <row r="756" spans="1:10">
      <c r="A756" s="1797" t="s">
        <v>2476</v>
      </c>
      <c r="B756" s="1798" t="s">
        <v>2479</v>
      </c>
      <c r="C756" s="1798">
        <v>37595</v>
      </c>
      <c r="D756" s="1799" t="s">
        <v>568</v>
      </c>
      <c r="E756" s="1800" t="s">
        <v>1184</v>
      </c>
      <c r="F756" s="1807">
        <v>8.6199999999999992</v>
      </c>
      <c r="G756" s="1801">
        <v>3.07</v>
      </c>
      <c r="H756" s="1802">
        <f>IF(E756="H",G756,TRUNC(G756*(1-$K$7),2))</f>
        <v>3.05</v>
      </c>
      <c r="I756" s="1803">
        <f t="shared" si="103"/>
        <v>26.29</v>
      </c>
      <c r="J756" s="1795"/>
    </row>
    <row r="757" spans="1:10" ht="24">
      <c r="A757" s="1797" t="s">
        <v>2476</v>
      </c>
      <c r="B757" s="1798" t="s">
        <v>2479</v>
      </c>
      <c r="C757" s="1798">
        <v>38195</v>
      </c>
      <c r="D757" s="1799" t="s">
        <v>2660</v>
      </c>
      <c r="E757" s="1800" t="s">
        <v>1176</v>
      </c>
      <c r="F757" s="1807">
        <v>1.07</v>
      </c>
      <c r="G757" s="1801">
        <v>110.38</v>
      </c>
      <c r="H757" s="1802">
        <f>IF(E757="H",G757,TRUNC(G757*(1-$K$7),2))</f>
        <v>109.81</v>
      </c>
      <c r="I757" s="1803">
        <f t="shared" si="103"/>
        <v>117.49</v>
      </c>
      <c r="J757" s="1795"/>
    </row>
    <row r="758" spans="1:10" ht="24">
      <c r="A758" s="1797" t="s">
        <v>2476</v>
      </c>
      <c r="B758" s="1798" t="s">
        <v>7</v>
      </c>
      <c r="C758" s="1798">
        <v>88256</v>
      </c>
      <c r="D758" s="1799" t="s">
        <v>1477</v>
      </c>
      <c r="E758" s="1800" t="s">
        <v>411</v>
      </c>
      <c r="F758" s="1807">
        <v>0.44</v>
      </c>
      <c r="G758" s="1801">
        <v>24.49</v>
      </c>
      <c r="H758" s="1802">
        <f>IF(E758="H",G758,TRUNC(G758*(1-$K$7),2))</f>
        <v>24.49</v>
      </c>
      <c r="I758" s="1803">
        <f t="shared" si="103"/>
        <v>10.77</v>
      </c>
      <c r="J758" s="1795"/>
    </row>
    <row r="759" spans="1:10">
      <c r="A759" s="1797" t="s">
        <v>2476</v>
      </c>
      <c r="B759" s="1798" t="s">
        <v>7</v>
      </c>
      <c r="C759" s="1798">
        <v>88316</v>
      </c>
      <c r="D759" s="1799" t="s">
        <v>66</v>
      </c>
      <c r="E759" s="1800" t="s">
        <v>411</v>
      </c>
      <c r="F759" s="1807">
        <v>0.2</v>
      </c>
      <c r="G759" s="1801">
        <v>19.45</v>
      </c>
      <c r="H759" s="1802">
        <f>IF(E759="H",G759,TRUNC(G759*(1-$K$7),2))</f>
        <v>19.45</v>
      </c>
      <c r="I759" s="1803">
        <f t="shared" si="103"/>
        <v>3.89</v>
      </c>
      <c r="J759" s="1795"/>
    </row>
    <row r="760" spans="1:10">
      <c r="A760" s="1943" t="s">
        <v>2477</v>
      </c>
      <c r="B760" s="1944"/>
      <c r="C760" s="1944"/>
      <c r="D760" s="1944"/>
      <c r="E760" s="1944"/>
      <c r="F760" s="1944"/>
      <c r="G760" s="1944"/>
      <c r="H760" s="1945"/>
      <c r="I760" s="1805">
        <f>SUM(I755:I759)</f>
        <v>159.25</v>
      </c>
      <c r="J760" s="1795"/>
    </row>
    <row r="761" spans="1:10">
      <c r="A761" s="1929"/>
      <c r="B761" s="1930"/>
      <c r="C761" s="1930"/>
      <c r="D761" s="1930"/>
      <c r="E761" s="1930"/>
      <c r="F761" s="1930"/>
      <c r="G761" s="1930"/>
      <c r="H761" s="1930"/>
      <c r="I761" s="1931"/>
      <c r="J761" s="1795"/>
    </row>
    <row r="762" spans="1:10" ht="24.75" customHeight="1">
      <c r="A762" s="1784" t="str">
        <f>'PLANILHA SEM DESON'!B112</f>
        <v>COMP 14</v>
      </c>
      <c r="B762" s="1940" t="str">
        <f>VLOOKUP(A762,'PLANILHA SEM DESON'!$B$17:$D$1700,2,FALSE)</f>
        <v>RODAPÉ EMBUTIDO EM PORCELANATO RETIFICADO, COR CINZA CLARO, PIV, ALTURA DE 15 CM, DIMENSÕES DE 60CMX60CM. REJUNTE CINZA</v>
      </c>
      <c r="C762" s="1941"/>
      <c r="D762" s="1941"/>
      <c r="E762" s="1941"/>
      <c r="F762" s="1941"/>
      <c r="G762" s="1941"/>
      <c r="H762" s="1942"/>
      <c r="I762" s="1785" t="str">
        <f>VLOOKUP(A762,'PLANILHA SEM DESON'!$B$17:$D$1700,3,FALSE)</f>
        <v>m</v>
      </c>
      <c r="J762" s="1786">
        <f>I769</f>
        <v>77.510000000000005</v>
      </c>
    </row>
    <row r="763" spans="1:10" ht="24">
      <c r="A763" s="1788" t="s">
        <v>2470</v>
      </c>
      <c r="B763" s="1789" t="s">
        <v>2471</v>
      </c>
      <c r="C763" s="1790" t="s">
        <v>2468</v>
      </c>
      <c r="D763" s="1791" t="s">
        <v>308</v>
      </c>
      <c r="E763" s="1790" t="s">
        <v>202</v>
      </c>
      <c r="F763" s="1792" t="s">
        <v>2472</v>
      </c>
      <c r="G763" s="1790" t="s">
        <v>2473</v>
      </c>
      <c r="H763" s="1793" t="s">
        <v>2474</v>
      </c>
      <c r="I763" s="1794" t="s">
        <v>2475</v>
      </c>
      <c r="J763" s="1795"/>
    </row>
    <row r="764" spans="1:10">
      <c r="A764" s="1797"/>
      <c r="B764" s="1798"/>
      <c r="C764" s="1798">
        <v>88316</v>
      </c>
      <c r="D764" s="1799" t="s">
        <v>66</v>
      </c>
      <c r="E764" s="1800" t="s">
        <v>57</v>
      </c>
      <c r="F764" s="1811">
        <v>3.1E-2</v>
      </c>
      <c r="G764" s="1808">
        <v>19.45</v>
      </c>
      <c r="H764" s="1802">
        <f>IF(E764="H",G764,TRUNC(G764*(1-$K$7),2))</f>
        <v>19.45</v>
      </c>
      <c r="I764" s="1803">
        <f t="shared" ref="I764:I768" si="104">TRUNC(H764*F764,2)</f>
        <v>0.6</v>
      </c>
      <c r="J764" s="1795"/>
    </row>
    <row r="765" spans="1:10" ht="24">
      <c r="A765" s="1797"/>
      <c r="B765" s="1798"/>
      <c r="C765" s="1798">
        <v>88256</v>
      </c>
      <c r="D765" s="1799" t="s">
        <v>1477</v>
      </c>
      <c r="E765" s="1800" t="s">
        <v>57</v>
      </c>
      <c r="F765" s="1811">
        <v>8.5000000000000006E-2</v>
      </c>
      <c r="G765" s="1806">
        <v>24.49</v>
      </c>
      <c r="H765" s="1802">
        <f>IF(E765="H",G765,TRUNC(G765*(1-$K$7),2))</f>
        <v>24.49</v>
      </c>
      <c r="I765" s="1803">
        <f t="shared" si="104"/>
        <v>2.08</v>
      </c>
      <c r="J765" s="1795"/>
    </row>
    <row r="766" spans="1:10">
      <c r="A766" s="1797"/>
      <c r="B766" s="1798"/>
      <c r="C766" s="1798">
        <v>1381</v>
      </c>
      <c r="D766" s="1799" t="s">
        <v>1479</v>
      </c>
      <c r="E766" s="1800" t="s">
        <v>100</v>
      </c>
      <c r="F766" s="1809">
        <v>0.60299999999999998</v>
      </c>
      <c r="G766" s="1808">
        <v>1</v>
      </c>
      <c r="H766" s="1802">
        <f>IF(E766="H",G766,TRUNC(G766*(1-$K$7),2))</f>
        <v>0.99</v>
      </c>
      <c r="I766" s="1803">
        <f t="shared" si="104"/>
        <v>0.59</v>
      </c>
      <c r="J766" s="1795"/>
    </row>
    <row r="767" spans="1:10">
      <c r="A767" s="1797"/>
      <c r="B767" s="1798"/>
      <c r="C767" s="1798">
        <v>34357</v>
      </c>
      <c r="D767" s="1799" t="s">
        <v>1478</v>
      </c>
      <c r="E767" s="1800" t="s">
        <v>100</v>
      </c>
      <c r="F767" s="1809">
        <v>8.4000000000000005E-2</v>
      </c>
      <c r="G767" s="1807">
        <v>5.87</v>
      </c>
      <c r="H767" s="1802">
        <f>IF(E767="H",G767,TRUNC(G767*(1-$K$7),2))</f>
        <v>5.84</v>
      </c>
      <c r="I767" s="1803">
        <f t="shared" si="104"/>
        <v>0.49</v>
      </c>
      <c r="J767" s="1795"/>
    </row>
    <row r="768" spans="1:10" ht="36">
      <c r="A768" s="1797"/>
      <c r="B768" s="1798"/>
      <c r="C768" s="1798">
        <v>87261</v>
      </c>
      <c r="D768" s="1799" t="s">
        <v>1472</v>
      </c>
      <c r="E768" s="1800" t="s">
        <v>46</v>
      </c>
      <c r="F768" s="1809">
        <v>0.40279999999999999</v>
      </c>
      <c r="G768" s="1807">
        <v>184.04</v>
      </c>
      <c r="H768" s="1802">
        <f>IF(E768="H",G768,TRUNC(G768*(1-$K$7),2))</f>
        <v>183.1</v>
      </c>
      <c r="I768" s="1803">
        <f t="shared" si="104"/>
        <v>73.75</v>
      </c>
      <c r="J768" s="1795"/>
    </row>
    <row r="769" spans="1:10">
      <c r="A769" s="1943" t="s">
        <v>2477</v>
      </c>
      <c r="B769" s="1944"/>
      <c r="C769" s="1944"/>
      <c r="D769" s="1944"/>
      <c r="E769" s="1944"/>
      <c r="F769" s="1944"/>
      <c r="G769" s="1944"/>
      <c r="H769" s="1945"/>
      <c r="I769" s="1805">
        <f>SUM(I764:I768)</f>
        <v>77.510000000000005</v>
      </c>
      <c r="J769" s="1795"/>
    </row>
    <row r="770" spans="1:10">
      <c r="A770" s="1929"/>
      <c r="B770" s="1930"/>
      <c r="C770" s="1930"/>
      <c r="D770" s="1930"/>
      <c r="E770" s="1930"/>
      <c r="F770" s="1930"/>
      <c r="G770" s="1930"/>
      <c r="H770" s="1930"/>
      <c r="I770" s="1931"/>
      <c r="J770" s="1795"/>
    </row>
    <row r="771" spans="1:10" ht="23.25" customHeight="1">
      <c r="A771" s="1784">
        <f>'PLANILHA SEM DESON'!B115</f>
        <v>87904</v>
      </c>
      <c r="B771" s="1940" t="str">
        <f>VLOOKUP(A771,'PLANILHA SEM DESON'!$B$17:$D$1700,2,FALSE)</f>
        <v>CHAPISCO APLICADO EM ALVENARIA (COM PRESENÇA DE VÃOS) E ESTRUTURAS DE CONCRETO DE FACHADA, COM COLHER DE PEDREIRO. ARGAMASSA TRAÇO 1:3 COM PREPARO MANUAL. AF_06/2014</v>
      </c>
      <c r="C771" s="1941"/>
      <c r="D771" s="1941"/>
      <c r="E771" s="1941"/>
      <c r="F771" s="1941"/>
      <c r="G771" s="1941"/>
      <c r="H771" s="1942"/>
      <c r="I771" s="1785" t="str">
        <f>VLOOKUP(A771,'PLANILHA SEM DESON'!$B$17:$D$1700,3,FALSE)</f>
        <v>m²</v>
      </c>
      <c r="J771" s="1786">
        <f>I776</f>
        <v>8.02</v>
      </c>
    </row>
    <row r="772" spans="1:10" ht="24">
      <c r="A772" s="1788" t="s">
        <v>2470</v>
      </c>
      <c r="B772" s="1789" t="s">
        <v>2471</v>
      </c>
      <c r="C772" s="1790" t="s">
        <v>2468</v>
      </c>
      <c r="D772" s="1791" t="s">
        <v>308</v>
      </c>
      <c r="E772" s="1790" t="s">
        <v>202</v>
      </c>
      <c r="F772" s="1792" t="s">
        <v>2472</v>
      </c>
      <c r="G772" s="1790" t="s">
        <v>2473</v>
      </c>
      <c r="H772" s="1793" t="s">
        <v>2474</v>
      </c>
      <c r="I772" s="1794" t="s">
        <v>2475</v>
      </c>
      <c r="J772" s="1795"/>
    </row>
    <row r="773" spans="1:10" ht="36">
      <c r="A773" s="1797" t="s">
        <v>2476</v>
      </c>
      <c r="B773" s="1798" t="s">
        <v>7</v>
      </c>
      <c r="C773" s="1798">
        <v>87377</v>
      </c>
      <c r="D773" s="1799" t="s">
        <v>2661</v>
      </c>
      <c r="E773" s="1800" t="s">
        <v>1171</v>
      </c>
      <c r="F773" s="1807">
        <v>3.7000000000000002E-3</v>
      </c>
      <c r="G773" s="1801">
        <v>730.63</v>
      </c>
      <c r="H773" s="1802">
        <f>IF(E773="H",G773,TRUNC(G773*(1-$K$7),2))</f>
        <v>726.9</v>
      </c>
      <c r="I773" s="1803">
        <f t="shared" ref="I773:I775" si="105">TRUNC(H773*F773,2)</f>
        <v>2.68</v>
      </c>
      <c r="J773" s="1795"/>
    </row>
    <row r="774" spans="1:10">
      <c r="A774" s="1797" t="s">
        <v>2476</v>
      </c>
      <c r="B774" s="1798" t="s">
        <v>7</v>
      </c>
      <c r="C774" s="1798">
        <v>88309</v>
      </c>
      <c r="D774" s="1799" t="s">
        <v>103</v>
      </c>
      <c r="E774" s="1800" t="s">
        <v>411</v>
      </c>
      <c r="F774" s="1807">
        <v>0.1724</v>
      </c>
      <c r="G774" s="1801">
        <v>24.59</v>
      </c>
      <c r="H774" s="1802">
        <f>IF(E774="H",G774,TRUNC(G774*(1-$K$7),2))</f>
        <v>24.59</v>
      </c>
      <c r="I774" s="1803">
        <f t="shared" si="105"/>
        <v>4.2300000000000004</v>
      </c>
      <c r="J774" s="1795"/>
    </row>
    <row r="775" spans="1:10">
      <c r="A775" s="1797" t="s">
        <v>2476</v>
      </c>
      <c r="B775" s="1798" t="s">
        <v>7</v>
      </c>
      <c r="C775" s="1798">
        <v>88316</v>
      </c>
      <c r="D775" s="1799" t="s">
        <v>66</v>
      </c>
      <c r="E775" s="1800" t="s">
        <v>411</v>
      </c>
      <c r="F775" s="1807">
        <v>5.7500000000000002E-2</v>
      </c>
      <c r="G775" s="1801">
        <v>19.45</v>
      </c>
      <c r="H775" s="1802">
        <f>IF(E775="H",G775,TRUNC(G775*(1-$K$7),2))</f>
        <v>19.45</v>
      </c>
      <c r="I775" s="1803">
        <f t="shared" si="105"/>
        <v>1.1100000000000001</v>
      </c>
      <c r="J775" s="1795"/>
    </row>
    <row r="776" spans="1:10">
      <c r="A776" s="1943" t="s">
        <v>2477</v>
      </c>
      <c r="B776" s="1944"/>
      <c r="C776" s="1944"/>
      <c r="D776" s="1944"/>
      <c r="E776" s="1944"/>
      <c r="F776" s="1944"/>
      <c r="G776" s="1944"/>
      <c r="H776" s="1945"/>
      <c r="I776" s="1805">
        <f>SUM(I773:I775)</f>
        <v>8.02</v>
      </c>
      <c r="J776" s="1795"/>
    </row>
    <row r="777" spans="1:10">
      <c r="A777" s="1929"/>
      <c r="B777" s="1930"/>
      <c r="C777" s="1930"/>
      <c r="D777" s="1930"/>
      <c r="E777" s="1930"/>
      <c r="F777" s="1930"/>
      <c r="G777" s="1930"/>
      <c r="H777" s="1930"/>
      <c r="I777" s="1931"/>
      <c r="J777" s="1795"/>
    </row>
    <row r="778" spans="1:10" ht="25.5" customHeight="1">
      <c r="A778" s="1784">
        <f>'PLANILHA SEM DESON'!B116</f>
        <v>87879</v>
      </c>
      <c r="B778" s="1940" t="str">
        <f>VLOOKUP(A778,'PLANILHA SEM DESON'!$B$17:$D$1700,2,FALSE)</f>
        <v>CHAPISCO APLICADO EM ALVENARIAS E ESTRUTURAS DE CONCRETO INTERNAS, COM COLHER DE PEDREIRO. ARGAMASSA TRAÇO 1:3 COM PREPARO EM BETONEIRA 400L. AF_06/2014</v>
      </c>
      <c r="C778" s="1941"/>
      <c r="D778" s="1941"/>
      <c r="E778" s="1941"/>
      <c r="F778" s="1941"/>
      <c r="G778" s="1941"/>
      <c r="H778" s="1942"/>
      <c r="I778" s="1785" t="str">
        <f>VLOOKUP(A778,'PLANILHA SEM DESON'!$B$17:$D$1700,3,FALSE)</f>
        <v>m²</v>
      </c>
      <c r="J778" s="1786">
        <f>I783</f>
        <v>4.37</v>
      </c>
    </row>
    <row r="779" spans="1:10" ht="24">
      <c r="A779" s="1788" t="s">
        <v>2470</v>
      </c>
      <c r="B779" s="1789" t="s">
        <v>2471</v>
      </c>
      <c r="C779" s="1790" t="s">
        <v>2468</v>
      </c>
      <c r="D779" s="1791" t="s">
        <v>308</v>
      </c>
      <c r="E779" s="1790" t="s">
        <v>202</v>
      </c>
      <c r="F779" s="1792" t="s">
        <v>2472</v>
      </c>
      <c r="G779" s="1790" t="s">
        <v>2473</v>
      </c>
      <c r="H779" s="1793" t="s">
        <v>2474</v>
      </c>
      <c r="I779" s="1794" t="s">
        <v>2475</v>
      </c>
      <c r="J779" s="1795"/>
    </row>
    <row r="780" spans="1:10" ht="48">
      <c r="A780" s="1797" t="s">
        <v>2476</v>
      </c>
      <c r="B780" s="1798" t="s">
        <v>7</v>
      </c>
      <c r="C780" s="1798">
        <v>87313</v>
      </c>
      <c r="D780" s="1799" t="s">
        <v>2662</v>
      </c>
      <c r="E780" s="1800" t="s">
        <v>1171</v>
      </c>
      <c r="F780" s="1807">
        <v>3.7000000000000002E-3</v>
      </c>
      <c r="G780" s="1801">
        <v>601.51</v>
      </c>
      <c r="H780" s="1802">
        <f>IF(E780="H",G780,TRUNC(G780*(1-$K$7),2))</f>
        <v>598.44000000000005</v>
      </c>
      <c r="I780" s="1803">
        <f t="shared" ref="I780:I782" si="106">TRUNC(H780*F780,2)</f>
        <v>2.21</v>
      </c>
      <c r="J780" s="1795"/>
    </row>
    <row r="781" spans="1:10">
      <c r="A781" s="1797" t="s">
        <v>2476</v>
      </c>
      <c r="B781" s="1798" t="s">
        <v>7</v>
      </c>
      <c r="C781" s="1798">
        <v>88309</v>
      </c>
      <c r="D781" s="1799" t="s">
        <v>103</v>
      </c>
      <c r="E781" s="1800" t="s">
        <v>411</v>
      </c>
      <c r="F781" s="1807">
        <v>6.8099999999999994E-2</v>
      </c>
      <c r="G781" s="1801">
        <v>24.59</v>
      </c>
      <c r="H781" s="1802">
        <f>IF(E781="H",G781,TRUNC(G781*(1-$K$7),2))</f>
        <v>24.59</v>
      </c>
      <c r="I781" s="1803">
        <f t="shared" si="106"/>
        <v>1.67</v>
      </c>
      <c r="J781" s="1795"/>
    </row>
    <row r="782" spans="1:10">
      <c r="A782" s="1797" t="s">
        <v>2476</v>
      </c>
      <c r="B782" s="1798" t="s">
        <v>7</v>
      </c>
      <c r="C782" s="1798">
        <v>88316</v>
      </c>
      <c r="D782" s="1799" t="s">
        <v>66</v>
      </c>
      <c r="E782" s="1800" t="s">
        <v>411</v>
      </c>
      <c r="F782" s="1807">
        <v>2.5499999999999998E-2</v>
      </c>
      <c r="G782" s="1801">
        <v>19.45</v>
      </c>
      <c r="H782" s="1802">
        <f>IF(E782="H",G782,TRUNC(G782*(1-$K$7),2))</f>
        <v>19.45</v>
      </c>
      <c r="I782" s="1803">
        <f t="shared" si="106"/>
        <v>0.49</v>
      </c>
      <c r="J782" s="1795"/>
    </row>
    <row r="783" spans="1:10">
      <c r="A783" s="1943" t="s">
        <v>2477</v>
      </c>
      <c r="B783" s="1944"/>
      <c r="C783" s="1944"/>
      <c r="D783" s="1944"/>
      <c r="E783" s="1944"/>
      <c r="F783" s="1944"/>
      <c r="G783" s="1944"/>
      <c r="H783" s="1945"/>
      <c r="I783" s="1805">
        <f>SUM(I780:I782)</f>
        <v>4.37</v>
      </c>
      <c r="J783" s="1795"/>
    </row>
    <row r="784" spans="1:10">
      <c r="A784" s="1929"/>
      <c r="B784" s="1930"/>
      <c r="C784" s="1930"/>
      <c r="D784" s="1930"/>
      <c r="E784" s="1930"/>
      <c r="F784" s="1930"/>
      <c r="G784" s="1930"/>
      <c r="H784" s="1930"/>
      <c r="I784" s="1931"/>
      <c r="J784" s="1795"/>
    </row>
    <row r="785" spans="1:10" ht="35.25" customHeight="1">
      <c r="A785" s="1784">
        <f>'PLANILHA SEM DESON'!B117</f>
        <v>87528</v>
      </c>
      <c r="B785" s="1940" t="str">
        <f>VLOOKUP(A785,'PLANILHA SEM DESON'!$B$17:$D$1700,2,FALSE)</f>
        <v>EMBOÇO, PARA RECEBIMENTO DE CERÂMICA, EM ARGAMASSA TRAÇO 1:2:8, PREPARO MANUAL, APLICADO MANUALMENTE EM FACES INTERNAS DE PAREDES, PARA AMBIENTE COM ÁREA MENOR QUE 5M2, ESPESSURA DE 20MM, COM EXECUÇÃO DE TALISCAS. AF_06/2014</v>
      </c>
      <c r="C785" s="1941"/>
      <c r="D785" s="1941"/>
      <c r="E785" s="1941"/>
      <c r="F785" s="1941"/>
      <c r="G785" s="1941"/>
      <c r="H785" s="1942"/>
      <c r="I785" s="1785" t="str">
        <f>VLOOKUP(A785,'PLANILHA SEM DESON'!$B$17:$D$1700,3,FALSE)</f>
        <v>m²</v>
      </c>
      <c r="J785" s="1786">
        <f>I790</f>
        <v>44.61</v>
      </c>
    </row>
    <row r="786" spans="1:10" ht="24">
      <c r="A786" s="1788" t="s">
        <v>2470</v>
      </c>
      <c r="B786" s="1789" t="s">
        <v>2471</v>
      </c>
      <c r="C786" s="1790" t="s">
        <v>2468</v>
      </c>
      <c r="D786" s="1791" t="s">
        <v>308</v>
      </c>
      <c r="E786" s="1790" t="s">
        <v>202</v>
      </c>
      <c r="F786" s="1792" t="s">
        <v>2472</v>
      </c>
      <c r="G786" s="1790" t="s">
        <v>2473</v>
      </c>
      <c r="H786" s="1793" t="s">
        <v>2474</v>
      </c>
      <c r="I786" s="1794" t="s">
        <v>2475</v>
      </c>
      <c r="J786" s="1795"/>
    </row>
    <row r="787" spans="1:10" ht="48">
      <c r="A787" s="1797" t="s">
        <v>2476</v>
      </c>
      <c r="B787" s="1798" t="s">
        <v>7</v>
      </c>
      <c r="C787" s="1798">
        <v>87369</v>
      </c>
      <c r="D787" s="1799" t="s">
        <v>2663</v>
      </c>
      <c r="E787" s="1800" t="s">
        <v>1171</v>
      </c>
      <c r="F787" s="1807">
        <v>3.7600000000000001E-2</v>
      </c>
      <c r="G787" s="1801">
        <v>701.92</v>
      </c>
      <c r="H787" s="1802">
        <f>IF(E787="H",G787,TRUNC(G787*(1-$K$7),2))</f>
        <v>698.34</v>
      </c>
      <c r="I787" s="1803">
        <f t="shared" ref="I787:I789" si="107">TRUNC(H787*F787,2)</f>
        <v>26.25</v>
      </c>
      <c r="J787" s="1795"/>
    </row>
    <row r="788" spans="1:10">
      <c r="A788" s="1797" t="s">
        <v>2476</v>
      </c>
      <c r="B788" s="1798" t="s">
        <v>7</v>
      </c>
      <c r="C788" s="1798">
        <v>88309</v>
      </c>
      <c r="D788" s="1799" t="s">
        <v>103</v>
      </c>
      <c r="E788" s="1800" t="s">
        <v>411</v>
      </c>
      <c r="F788" s="1807">
        <v>0.57999999999999996</v>
      </c>
      <c r="G788" s="1801">
        <v>24.59</v>
      </c>
      <c r="H788" s="1802">
        <f>IF(E788="H",G788,TRUNC(G788*(1-$K$7),2))</f>
        <v>24.59</v>
      </c>
      <c r="I788" s="1803">
        <f t="shared" si="107"/>
        <v>14.26</v>
      </c>
      <c r="J788" s="1795"/>
    </row>
    <row r="789" spans="1:10">
      <c r="A789" s="1797" t="s">
        <v>2476</v>
      </c>
      <c r="B789" s="1798" t="s">
        <v>7</v>
      </c>
      <c r="C789" s="1798">
        <v>88316</v>
      </c>
      <c r="D789" s="1799" t="s">
        <v>66</v>
      </c>
      <c r="E789" s="1800" t="s">
        <v>411</v>
      </c>
      <c r="F789" s="1807">
        <v>0.21099999999999999</v>
      </c>
      <c r="G789" s="1801">
        <v>19.45</v>
      </c>
      <c r="H789" s="1802">
        <f>IF(E789="H",G789,TRUNC(G789*(1-$K$7),2))</f>
        <v>19.45</v>
      </c>
      <c r="I789" s="1803">
        <f t="shared" si="107"/>
        <v>4.0999999999999996</v>
      </c>
      <c r="J789" s="1795"/>
    </row>
    <row r="790" spans="1:10">
      <c r="A790" s="1943" t="s">
        <v>2477</v>
      </c>
      <c r="B790" s="1944"/>
      <c r="C790" s="1944"/>
      <c r="D790" s="1944"/>
      <c r="E790" s="1944"/>
      <c r="F790" s="1944"/>
      <c r="G790" s="1944"/>
      <c r="H790" s="1945"/>
      <c r="I790" s="1805">
        <f>SUM(I787:I789)</f>
        <v>44.61</v>
      </c>
      <c r="J790" s="1795"/>
    </row>
    <row r="791" spans="1:10">
      <c r="A791" s="1929"/>
      <c r="B791" s="1930"/>
      <c r="C791" s="1930"/>
      <c r="D791" s="1930"/>
      <c r="E791" s="1930"/>
      <c r="F791" s="1930"/>
      <c r="G791" s="1930"/>
      <c r="H791" s="1930"/>
      <c r="I791" s="1931"/>
      <c r="J791" s="1795"/>
    </row>
    <row r="792" spans="1:10" ht="35.25" customHeight="1">
      <c r="A792" s="1784">
        <f>'PLANILHA SEM DESON'!B118</f>
        <v>87532</v>
      </c>
      <c r="B792" s="1940" t="str">
        <f>VLOOKUP(A792,'PLANILHA SEM DESON'!$B$17:$D$1700,2,FALSE)</f>
        <v>EMBOÇO, PARA RECEBIMENTO DE CERÂMICA, EM ARGAMASSA TRAÇO 1:2:8, PREPARO MECÂNICO COM BETONEIRA 400L, APLICADO MANUALMENTE EM FACES INTERNAS DE PAREDES, PARA AMBIENTE COM ÁREA ENTRE 5M2 E 10M2, ESPESSURA DE 20MM, COM EXECUÇÃO DE TALISCAS. AF_06/2014</v>
      </c>
      <c r="C792" s="1941"/>
      <c r="D792" s="1941"/>
      <c r="E792" s="1941"/>
      <c r="F792" s="1941"/>
      <c r="G792" s="1941"/>
      <c r="H792" s="1942"/>
      <c r="I792" s="1785" t="str">
        <f>VLOOKUP(A792,'PLANILHA SEM DESON'!$B$17:$D$1700,3,FALSE)</f>
        <v>m²</v>
      </c>
      <c r="J792" s="1786">
        <f>I797</f>
        <v>39.89</v>
      </c>
    </row>
    <row r="793" spans="1:10" ht="24">
      <c r="A793" s="1788" t="s">
        <v>2470</v>
      </c>
      <c r="B793" s="1789" t="s">
        <v>2471</v>
      </c>
      <c r="C793" s="1790" t="s">
        <v>2468</v>
      </c>
      <c r="D793" s="1791" t="s">
        <v>308</v>
      </c>
      <c r="E793" s="1790" t="s">
        <v>202</v>
      </c>
      <c r="F793" s="1792" t="s">
        <v>2472</v>
      </c>
      <c r="G793" s="1790" t="s">
        <v>2473</v>
      </c>
      <c r="H793" s="1793" t="s">
        <v>2474</v>
      </c>
      <c r="I793" s="1794" t="s">
        <v>2475</v>
      </c>
      <c r="J793" s="1795"/>
    </row>
    <row r="794" spans="1:10" ht="48">
      <c r="A794" s="1797" t="s">
        <v>2476</v>
      </c>
      <c r="B794" s="1798" t="s">
        <v>7</v>
      </c>
      <c r="C794" s="1798">
        <v>87369</v>
      </c>
      <c r="D794" s="1799" t="s">
        <v>2663</v>
      </c>
      <c r="E794" s="1800" t="s">
        <v>1171</v>
      </c>
      <c r="F794" s="1807">
        <v>3.7600000000000001E-2</v>
      </c>
      <c r="G794" s="1801">
        <v>701.92</v>
      </c>
      <c r="H794" s="1802">
        <f>IF(E794="H",G794,TRUNC(G794*(1-$K$7),2))</f>
        <v>698.34</v>
      </c>
      <c r="I794" s="1803">
        <f t="shared" ref="I794:I796" si="108">TRUNC(H794*F794,2)</f>
        <v>26.25</v>
      </c>
      <c r="J794" s="1795"/>
    </row>
    <row r="795" spans="1:10">
      <c r="A795" s="1797" t="s">
        <v>2476</v>
      </c>
      <c r="B795" s="1798" t="s">
        <v>7</v>
      </c>
      <c r="C795" s="1798">
        <v>88309</v>
      </c>
      <c r="D795" s="1799" t="s">
        <v>103</v>
      </c>
      <c r="E795" s="1800" t="s">
        <v>411</v>
      </c>
      <c r="F795" s="1807">
        <v>0.43</v>
      </c>
      <c r="G795" s="1801">
        <v>24.59</v>
      </c>
      <c r="H795" s="1802">
        <f>IF(E795="H",G795,TRUNC(G795*(1-$K$7),2))</f>
        <v>24.59</v>
      </c>
      <c r="I795" s="1803">
        <f t="shared" si="108"/>
        <v>10.57</v>
      </c>
      <c r="J795" s="1795"/>
    </row>
    <row r="796" spans="1:10">
      <c r="A796" s="1797" t="s">
        <v>2476</v>
      </c>
      <c r="B796" s="1798" t="s">
        <v>7</v>
      </c>
      <c r="C796" s="1798">
        <v>88316</v>
      </c>
      <c r="D796" s="1799" t="s">
        <v>66</v>
      </c>
      <c r="E796" s="1800" t="s">
        <v>411</v>
      </c>
      <c r="F796" s="1807">
        <v>0.158</v>
      </c>
      <c r="G796" s="1801">
        <v>19.45</v>
      </c>
      <c r="H796" s="1802">
        <f>IF(E796="H",G796,TRUNC(G796*(1-$K$7),2))</f>
        <v>19.45</v>
      </c>
      <c r="I796" s="1803">
        <f t="shared" si="108"/>
        <v>3.07</v>
      </c>
      <c r="J796" s="1795"/>
    </row>
    <row r="797" spans="1:10">
      <c r="A797" s="1943" t="s">
        <v>2477</v>
      </c>
      <c r="B797" s="1944"/>
      <c r="C797" s="1944"/>
      <c r="D797" s="1944"/>
      <c r="E797" s="1944"/>
      <c r="F797" s="1944"/>
      <c r="G797" s="1944"/>
      <c r="H797" s="1945"/>
      <c r="I797" s="1805">
        <f>SUM(I794:I796)</f>
        <v>39.89</v>
      </c>
      <c r="J797" s="1795"/>
    </row>
    <row r="798" spans="1:10">
      <c r="A798" s="1929"/>
      <c r="B798" s="1930"/>
      <c r="C798" s="1930"/>
      <c r="D798" s="1930"/>
      <c r="E798" s="1930"/>
      <c r="F798" s="1930"/>
      <c r="G798" s="1930"/>
      <c r="H798" s="1930"/>
      <c r="I798" s="1931"/>
      <c r="J798" s="1795"/>
    </row>
    <row r="799" spans="1:10" ht="39" customHeight="1">
      <c r="A799" s="1784">
        <f>'PLANILHA SEM DESON'!B119</f>
        <v>87536</v>
      </c>
      <c r="B799" s="1940" t="str">
        <f>VLOOKUP(A799,'PLANILHA SEM DESON'!$B$17:$D$1700,2,FALSE)</f>
        <v>EMBOÇO, PARA RECEBIMENTO DE CERÂMICA, EM ARGAMASSA TRAÇO 1:2:8, PREPARO MECÂNICO COM BETONEIRA 400L, APLICADO MANUALMENTE EM FACES INTERNAS DE PAREDES, PARA AMBIENTE COM ÁREA MAIOR QUE 10M2, ESPESSURA DE 20MM, COM EXECUÇÃO DE TALISCAS. AF_06/2014</v>
      </c>
      <c r="C799" s="1941"/>
      <c r="D799" s="1941"/>
      <c r="E799" s="1941"/>
      <c r="F799" s="1941"/>
      <c r="G799" s="1941"/>
      <c r="H799" s="1942"/>
      <c r="I799" s="1785" t="str">
        <f>VLOOKUP(A799,'PLANILHA SEM DESON'!$B$17:$D$1700,3,FALSE)</f>
        <v>m²</v>
      </c>
      <c r="J799" s="1786">
        <f>I804</f>
        <v>36.4</v>
      </c>
    </row>
    <row r="800" spans="1:10" ht="24">
      <c r="A800" s="1788" t="s">
        <v>2470</v>
      </c>
      <c r="B800" s="1789" t="s">
        <v>2471</v>
      </c>
      <c r="C800" s="1790" t="s">
        <v>2468</v>
      </c>
      <c r="D800" s="1791" t="s">
        <v>308</v>
      </c>
      <c r="E800" s="1790" t="s">
        <v>202</v>
      </c>
      <c r="F800" s="1792" t="s">
        <v>2472</v>
      </c>
      <c r="G800" s="1790" t="s">
        <v>2473</v>
      </c>
      <c r="H800" s="1793" t="s">
        <v>2474</v>
      </c>
      <c r="I800" s="1794" t="s">
        <v>2475</v>
      </c>
      <c r="J800" s="1795"/>
    </row>
    <row r="801" spans="1:10" ht="48">
      <c r="A801" s="1797" t="s">
        <v>2476</v>
      </c>
      <c r="B801" s="1798" t="s">
        <v>7</v>
      </c>
      <c r="C801" s="1798">
        <v>87369</v>
      </c>
      <c r="D801" s="1799" t="s">
        <v>2663</v>
      </c>
      <c r="E801" s="1800" t="s">
        <v>1171</v>
      </c>
      <c r="F801" s="1807">
        <v>3.7600000000000001E-2</v>
      </c>
      <c r="G801" s="1801">
        <v>701.92</v>
      </c>
      <c r="H801" s="1802">
        <f>IF(E801="H",G801,TRUNC(G801*(1-$K$7),2))</f>
        <v>698.34</v>
      </c>
      <c r="I801" s="1803">
        <f t="shared" ref="I801:I803" si="109">TRUNC(H801*F801,2)</f>
        <v>26.25</v>
      </c>
      <c r="J801" s="1795"/>
    </row>
    <row r="802" spans="1:10">
      <c r="A802" s="1797" t="s">
        <v>2476</v>
      </c>
      <c r="B802" s="1798" t="s">
        <v>7</v>
      </c>
      <c r="C802" s="1798">
        <v>88309</v>
      </c>
      <c r="D802" s="1799" t="s">
        <v>103</v>
      </c>
      <c r="E802" s="1800" t="s">
        <v>411</v>
      </c>
      <c r="F802" s="1807">
        <v>0.32</v>
      </c>
      <c r="G802" s="1801">
        <v>24.59</v>
      </c>
      <c r="H802" s="1802">
        <f>IF(E802="H",G802,TRUNC(G802*(1-$K$7),2))</f>
        <v>24.59</v>
      </c>
      <c r="I802" s="1803">
        <f t="shared" si="109"/>
        <v>7.86</v>
      </c>
      <c r="J802" s="1795"/>
    </row>
    <row r="803" spans="1:10">
      <c r="A803" s="1797" t="s">
        <v>2476</v>
      </c>
      <c r="B803" s="1798" t="s">
        <v>7</v>
      </c>
      <c r="C803" s="1798">
        <v>88316</v>
      </c>
      <c r="D803" s="1799" t="s">
        <v>66</v>
      </c>
      <c r="E803" s="1800" t="s">
        <v>411</v>
      </c>
      <c r="F803" s="1807">
        <v>0.11799999999999999</v>
      </c>
      <c r="G803" s="1801">
        <v>19.45</v>
      </c>
      <c r="H803" s="1802">
        <f>IF(E803="H",G803,TRUNC(G803*(1-$K$7),2))</f>
        <v>19.45</v>
      </c>
      <c r="I803" s="1803">
        <f t="shared" si="109"/>
        <v>2.29</v>
      </c>
      <c r="J803" s="1795"/>
    </row>
    <row r="804" spans="1:10">
      <c r="A804" s="1943" t="s">
        <v>2477</v>
      </c>
      <c r="B804" s="1944"/>
      <c r="C804" s="1944"/>
      <c r="D804" s="1944"/>
      <c r="E804" s="1944"/>
      <c r="F804" s="1944"/>
      <c r="G804" s="1944"/>
      <c r="H804" s="1945"/>
      <c r="I804" s="1805">
        <f>SUM(I801:I803)</f>
        <v>36.4</v>
      </c>
      <c r="J804" s="1795"/>
    </row>
    <row r="805" spans="1:10">
      <c r="A805" s="1929"/>
      <c r="B805" s="1930"/>
      <c r="C805" s="1930"/>
      <c r="D805" s="1930"/>
      <c r="E805" s="1930"/>
      <c r="F805" s="1930"/>
      <c r="G805" s="1930"/>
      <c r="H805" s="1930"/>
      <c r="I805" s="1931"/>
      <c r="J805" s="1795"/>
    </row>
    <row r="806" spans="1:10" ht="23.25" customHeight="1">
      <c r="A806" s="1784" t="str">
        <f>'PLANILHA SEM DESON'!B120</f>
        <v>COMP 22</v>
      </c>
      <c r="B806" s="1940" t="str">
        <f>VLOOKUP(A806,'PLANILHA SEM DESON'!$B$17:$D$1700,2,FALSE)</f>
        <v>REVESTIMENTO CERÂMICO DE PAREDE  BOLD 6,5X23 CM  APLICADO COM ARGAMASSA INDUSTRIAL , INCLUSIVE REJUNTE.</v>
      </c>
      <c r="C806" s="1941"/>
      <c r="D806" s="1941"/>
      <c r="E806" s="1941"/>
      <c r="F806" s="1941"/>
      <c r="G806" s="1941"/>
      <c r="H806" s="1942"/>
      <c r="I806" s="1785" t="str">
        <f>VLOOKUP(A806,'PLANILHA SEM DESON'!$B$17:$D$1700,3,FALSE)</f>
        <v>m²</v>
      </c>
      <c r="J806" s="1786">
        <f>I813</f>
        <v>189.46</v>
      </c>
    </row>
    <row r="807" spans="1:10" ht="24">
      <c r="A807" s="1788" t="s">
        <v>2470</v>
      </c>
      <c r="B807" s="1789" t="s">
        <v>2471</v>
      </c>
      <c r="C807" s="1790" t="s">
        <v>2468</v>
      </c>
      <c r="D807" s="1791" t="s">
        <v>308</v>
      </c>
      <c r="E807" s="1790" t="s">
        <v>202</v>
      </c>
      <c r="F807" s="1792" t="s">
        <v>2472</v>
      </c>
      <c r="G807" s="1790" t="s">
        <v>2473</v>
      </c>
      <c r="H807" s="1793" t="s">
        <v>2474</v>
      </c>
      <c r="I807" s="1794" t="s">
        <v>2475</v>
      </c>
      <c r="J807" s="1795"/>
    </row>
    <row r="808" spans="1:10" ht="24">
      <c r="A808" s="1797"/>
      <c r="B808" s="1798"/>
      <c r="C808" s="1798">
        <v>88256</v>
      </c>
      <c r="D808" s="1799" t="s">
        <v>1477</v>
      </c>
      <c r="E808" s="1800" t="s">
        <v>57</v>
      </c>
      <c r="F808" s="1809">
        <v>0.4</v>
      </c>
      <c r="G808" s="1806">
        <v>24.49</v>
      </c>
      <c r="H808" s="1802">
        <f>IF(E808="H",G808,TRUNC(G808*(1-$K$7),2))</f>
        <v>24.49</v>
      </c>
      <c r="I808" s="1803">
        <f t="shared" ref="I808:I812" si="110">TRUNC(H808*F808,2)</f>
        <v>9.7899999999999991</v>
      </c>
      <c r="J808" s="1795"/>
    </row>
    <row r="809" spans="1:10">
      <c r="A809" s="1797"/>
      <c r="B809" s="1798"/>
      <c r="C809" s="1798">
        <v>88316</v>
      </c>
      <c r="D809" s="1799" t="s">
        <v>66</v>
      </c>
      <c r="E809" s="1800" t="s">
        <v>57</v>
      </c>
      <c r="F809" s="1809">
        <v>0.34</v>
      </c>
      <c r="G809" s="1808">
        <v>19.45</v>
      </c>
      <c r="H809" s="1802">
        <f>IF(E809="H",G809,TRUNC(G809*(1-$K$7),2))</f>
        <v>19.45</v>
      </c>
      <c r="I809" s="1803">
        <f t="shared" si="110"/>
        <v>6.61</v>
      </c>
      <c r="J809" s="1795"/>
    </row>
    <row r="810" spans="1:10" ht="24">
      <c r="A810" s="1797"/>
      <c r="B810" s="1798"/>
      <c r="C810" s="1798" t="s">
        <v>65</v>
      </c>
      <c r="D810" s="1799" t="s">
        <v>1529</v>
      </c>
      <c r="E810" s="1800" t="s">
        <v>46</v>
      </c>
      <c r="F810" s="1806">
        <v>1.05</v>
      </c>
      <c r="G810" s="1806">
        <v>154.9</v>
      </c>
      <c r="H810" s="1802">
        <f>IF(E810="H",G810,TRUNC(G810*(1-$K$7),2))</f>
        <v>154.11000000000001</v>
      </c>
      <c r="I810" s="1803">
        <f t="shared" si="110"/>
        <v>161.81</v>
      </c>
      <c r="J810" s="1795"/>
    </row>
    <row r="811" spans="1:10">
      <c r="A811" s="1797"/>
      <c r="B811" s="1798"/>
      <c r="C811" s="1798">
        <v>34353</v>
      </c>
      <c r="D811" s="1799" t="s">
        <v>1527</v>
      </c>
      <c r="E811" s="1800" t="s">
        <v>100</v>
      </c>
      <c r="F811" s="1806">
        <v>4</v>
      </c>
      <c r="G811" s="1806">
        <v>1.86</v>
      </c>
      <c r="H811" s="1802">
        <f>IF(E811="H",G811,TRUNC(G811*(1-$K$7),2))</f>
        <v>1.85</v>
      </c>
      <c r="I811" s="1803">
        <f t="shared" si="110"/>
        <v>7.4</v>
      </c>
      <c r="J811" s="1795"/>
    </row>
    <row r="812" spans="1:10">
      <c r="A812" s="1797"/>
      <c r="B812" s="1798"/>
      <c r="C812" s="1798">
        <v>34357</v>
      </c>
      <c r="D812" s="1799" t="s">
        <v>1478</v>
      </c>
      <c r="E812" s="1800" t="s">
        <v>100</v>
      </c>
      <c r="F812" s="1806">
        <v>0.66</v>
      </c>
      <c r="G812" s="1806">
        <v>5.87</v>
      </c>
      <c r="H812" s="1802">
        <f>IF(E812="H",G812,TRUNC(G812*(1-$K$7),2))</f>
        <v>5.84</v>
      </c>
      <c r="I812" s="1803">
        <f t="shared" si="110"/>
        <v>3.85</v>
      </c>
      <c r="J812" s="1795"/>
    </row>
    <row r="813" spans="1:10">
      <c r="A813" s="1943" t="s">
        <v>2477</v>
      </c>
      <c r="B813" s="1944"/>
      <c r="C813" s="1944"/>
      <c r="D813" s="1944"/>
      <c r="E813" s="1944"/>
      <c r="F813" s="1944"/>
      <c r="G813" s="1944"/>
      <c r="H813" s="1945"/>
      <c r="I813" s="1805">
        <f>SUM(I808:I812)</f>
        <v>189.46</v>
      </c>
      <c r="J813" s="1795"/>
    </row>
    <row r="814" spans="1:10">
      <c r="A814" s="1929"/>
      <c r="B814" s="1930"/>
      <c r="C814" s="1930"/>
      <c r="D814" s="1930"/>
      <c r="E814" s="1930"/>
      <c r="F814" s="1930"/>
      <c r="G814" s="1930"/>
      <c r="H814" s="1930"/>
      <c r="I814" s="1931"/>
      <c r="J814" s="1795"/>
    </row>
    <row r="815" spans="1:10" ht="37.5" customHeight="1">
      <c r="A815" s="1784">
        <f>'PLANILHA SEM DESON'!B121</f>
        <v>89173</v>
      </c>
      <c r="B815" s="1940" t="str">
        <f>VLOOKUP(A815,'PLANILHA SEM DESON'!$B$17:$D$1700,2,FALSE)</f>
        <v>(COMPOSIÇÃO REPRESENTATIVA) DO SERVIÇO DE EMBOÇO/MASSA ÚNICA, APLICADO MANUALMENTE, TRAÇO 1:2:8, EM BETONEIRA DE 400L, PAREDES INTERNAS, COM EXECUÇÃO DE TALISCAS, EDIFICAÇÃO HABITACIONAL UNIFAMILIAR (CASAS) E EDIFICAÇÃO PÚBLICA PADRÃO. AF_12/2014</v>
      </c>
      <c r="C815" s="1941"/>
      <c r="D815" s="1941"/>
      <c r="E815" s="1941"/>
      <c r="F815" s="1941"/>
      <c r="G815" s="1941"/>
      <c r="H815" s="1942"/>
      <c r="I815" s="1785" t="str">
        <f>VLOOKUP(A815,'PLANILHA SEM DESON'!$B$17:$D$1700,3,FALSE)</f>
        <v>m²</v>
      </c>
      <c r="J815" s="1786">
        <f>I820</f>
        <v>36.599999999999994</v>
      </c>
    </row>
    <row r="816" spans="1:10" ht="24">
      <c r="A816" s="1788" t="s">
        <v>2470</v>
      </c>
      <c r="B816" s="1789" t="s">
        <v>2471</v>
      </c>
      <c r="C816" s="1790" t="s">
        <v>2468</v>
      </c>
      <c r="D816" s="1791" t="s">
        <v>308</v>
      </c>
      <c r="E816" s="1790" t="s">
        <v>202</v>
      </c>
      <c r="F816" s="1792" t="s">
        <v>2472</v>
      </c>
      <c r="G816" s="1790" t="s">
        <v>2473</v>
      </c>
      <c r="H816" s="1793" t="s">
        <v>2474</v>
      </c>
      <c r="I816" s="1794" t="s">
        <v>2475</v>
      </c>
      <c r="J816" s="1795"/>
    </row>
    <row r="817" spans="1:10" ht="72">
      <c r="A817" s="1797" t="s">
        <v>2476</v>
      </c>
      <c r="B817" s="1798" t="s">
        <v>7</v>
      </c>
      <c r="C817" s="1798">
        <v>87527</v>
      </c>
      <c r="D817" s="1799" t="s">
        <v>2664</v>
      </c>
      <c r="E817" s="1800" t="s">
        <v>1176</v>
      </c>
      <c r="F817" s="1807">
        <v>0.11210000000000001</v>
      </c>
      <c r="G817" s="1801">
        <v>40.090000000000003</v>
      </c>
      <c r="H817" s="1802">
        <f>IF(E817="H",G817,TRUNC(G817*(1-$K$7),2))</f>
        <v>39.880000000000003</v>
      </c>
      <c r="I817" s="1803">
        <f t="shared" ref="I817:I819" si="111">TRUNC(H817*F817,2)</f>
        <v>4.47</v>
      </c>
      <c r="J817" s="1795"/>
    </row>
    <row r="818" spans="1:10" ht="60">
      <c r="A818" s="1797" t="s">
        <v>2476</v>
      </c>
      <c r="B818" s="1798" t="s">
        <v>7</v>
      </c>
      <c r="C818" s="1798">
        <v>87529</v>
      </c>
      <c r="D818" s="1799" t="s">
        <v>2665</v>
      </c>
      <c r="E818" s="1800" t="s">
        <v>1176</v>
      </c>
      <c r="F818" s="1807">
        <v>0.7339</v>
      </c>
      <c r="G818" s="1801">
        <v>36.6</v>
      </c>
      <c r="H818" s="1802">
        <f>IF(E818="H",G818,TRUNC(G818*(1-$K$7),2))</f>
        <v>36.409999999999997</v>
      </c>
      <c r="I818" s="1803">
        <f t="shared" si="111"/>
        <v>26.72</v>
      </c>
      <c r="J818" s="1795"/>
    </row>
    <row r="819" spans="1:10" ht="72">
      <c r="A819" s="1797" t="s">
        <v>2476</v>
      </c>
      <c r="B819" s="1798" t="s">
        <v>7</v>
      </c>
      <c r="C819" s="1798">
        <v>87531</v>
      </c>
      <c r="D819" s="1799" t="s">
        <v>1503</v>
      </c>
      <c r="E819" s="1800" t="s">
        <v>1176</v>
      </c>
      <c r="F819" s="1807">
        <v>0.154</v>
      </c>
      <c r="G819" s="1801">
        <v>35.369999999999997</v>
      </c>
      <c r="H819" s="1802">
        <f>IF(E819="H",G819,TRUNC(G819*(1-$K$7),2))</f>
        <v>35.18</v>
      </c>
      <c r="I819" s="1803">
        <f t="shared" si="111"/>
        <v>5.41</v>
      </c>
      <c r="J819" s="1795"/>
    </row>
    <row r="820" spans="1:10">
      <c r="A820" s="1943" t="s">
        <v>2477</v>
      </c>
      <c r="B820" s="1944"/>
      <c r="C820" s="1944"/>
      <c r="D820" s="1944"/>
      <c r="E820" s="1944"/>
      <c r="F820" s="1944"/>
      <c r="G820" s="1944"/>
      <c r="H820" s="1945"/>
      <c r="I820" s="1805">
        <f>SUM(I817:I819)</f>
        <v>36.599999999999994</v>
      </c>
      <c r="J820" s="1795"/>
    </row>
    <row r="821" spans="1:10">
      <c r="A821" s="1929"/>
      <c r="B821" s="1930"/>
      <c r="C821" s="1930"/>
      <c r="D821" s="1930"/>
      <c r="E821" s="1930"/>
      <c r="F821" s="1930"/>
      <c r="G821" s="1930"/>
      <c r="H821" s="1930"/>
      <c r="I821" s="1931"/>
      <c r="J821" s="1795"/>
    </row>
    <row r="822" spans="1:10" ht="40.5" customHeight="1">
      <c r="A822" s="1784">
        <f>'PLANILHA SEM DESON'!B122</f>
        <v>90406</v>
      </c>
      <c r="B822" s="1940" t="str">
        <f>VLOOKUP(A822,'PLANILHA SEM DESON'!$B$17:$D$1700,2,FALSE)</f>
        <v>MASSA ÚNICA, PARA RECEBIMENTO DE PINTURA, EM ARGAMASSA TRAÇO 1:2:8, PREPARO MECÂNICO COM BETONEIRA 400L, APLICADA MANUALMENTE EM TETO, ESPESSURA DE 20MM, COM EXECUÇÃO DE TALISCAS. AF_03/2015</v>
      </c>
      <c r="C822" s="1941"/>
      <c r="D822" s="1941"/>
      <c r="E822" s="1941"/>
      <c r="F822" s="1941"/>
      <c r="G822" s="1941"/>
      <c r="H822" s="1942"/>
      <c r="I822" s="1785">
        <f>VLOOKUP(A822,'PLANILHA SEM DESON'!$B$17:$D$1700,3,FALSE)</f>
        <v>0</v>
      </c>
      <c r="J822" s="1786">
        <f>I827</f>
        <v>46.660000000000004</v>
      </c>
    </row>
    <row r="823" spans="1:10" ht="24">
      <c r="A823" s="1788" t="s">
        <v>2470</v>
      </c>
      <c r="B823" s="1789" t="s">
        <v>2471</v>
      </c>
      <c r="C823" s="1790" t="s">
        <v>2468</v>
      </c>
      <c r="D823" s="1791" t="s">
        <v>308</v>
      </c>
      <c r="E823" s="1790" t="s">
        <v>202</v>
      </c>
      <c r="F823" s="1792" t="s">
        <v>2472</v>
      </c>
      <c r="G823" s="1790" t="s">
        <v>2473</v>
      </c>
      <c r="H823" s="1793" t="s">
        <v>2474</v>
      </c>
      <c r="I823" s="1794" t="s">
        <v>2475</v>
      </c>
      <c r="J823" s="1795"/>
    </row>
    <row r="824" spans="1:10" ht="60">
      <c r="A824" s="1797" t="s">
        <v>2476</v>
      </c>
      <c r="B824" s="1798" t="s">
        <v>7</v>
      </c>
      <c r="C824" s="1798">
        <v>87292</v>
      </c>
      <c r="D824" s="1799" t="s">
        <v>2648</v>
      </c>
      <c r="E824" s="1800" t="s">
        <v>1171</v>
      </c>
      <c r="F824" s="1807">
        <v>3.7600000000000001E-2</v>
      </c>
      <c r="G824" s="1801">
        <v>578.16</v>
      </c>
      <c r="H824" s="1802">
        <f>IF(E824="H",G824,TRUNC(G824*(1-$K$7),2))</f>
        <v>575.21</v>
      </c>
      <c r="I824" s="1803">
        <f t="shared" ref="I824:I826" si="112">TRUNC(H824*F824,2)</f>
        <v>21.62</v>
      </c>
      <c r="J824" s="1795"/>
    </row>
    <row r="825" spans="1:10">
      <c r="A825" s="1797" t="s">
        <v>2476</v>
      </c>
      <c r="B825" s="1798" t="s">
        <v>7</v>
      </c>
      <c r="C825" s="1798">
        <v>88309</v>
      </c>
      <c r="D825" s="1799" t="s">
        <v>103</v>
      </c>
      <c r="E825" s="1800" t="s">
        <v>411</v>
      </c>
      <c r="F825" s="1807">
        <v>0.79</v>
      </c>
      <c r="G825" s="1801">
        <v>24.59</v>
      </c>
      <c r="H825" s="1802">
        <f>IF(E825="H",G825,TRUNC(G825*(1-$K$7),2))</f>
        <v>24.59</v>
      </c>
      <c r="I825" s="1803">
        <f t="shared" si="112"/>
        <v>19.420000000000002</v>
      </c>
      <c r="J825" s="1795"/>
    </row>
    <row r="826" spans="1:10">
      <c r="A826" s="1797" t="s">
        <v>2476</v>
      </c>
      <c r="B826" s="1798" t="s">
        <v>7</v>
      </c>
      <c r="C826" s="1798">
        <v>88316</v>
      </c>
      <c r="D826" s="1799" t="s">
        <v>66</v>
      </c>
      <c r="E826" s="1800" t="s">
        <v>411</v>
      </c>
      <c r="F826" s="1807">
        <v>0.28899999999999998</v>
      </c>
      <c r="G826" s="1801">
        <v>19.45</v>
      </c>
      <c r="H826" s="1802">
        <f>IF(E826="H",G826,TRUNC(G826*(1-$K$7),2))</f>
        <v>19.45</v>
      </c>
      <c r="I826" s="1803">
        <f t="shared" si="112"/>
        <v>5.62</v>
      </c>
      <c r="J826" s="1795"/>
    </row>
    <row r="827" spans="1:10">
      <c r="A827" s="1943" t="s">
        <v>2477</v>
      </c>
      <c r="B827" s="1944"/>
      <c r="C827" s="1944"/>
      <c r="D827" s="1944"/>
      <c r="E827" s="1944"/>
      <c r="F827" s="1944"/>
      <c r="G827" s="1944"/>
      <c r="H827" s="1945"/>
      <c r="I827" s="1805">
        <f>SUM(I824:I826)</f>
        <v>46.660000000000004</v>
      </c>
      <c r="J827" s="1795"/>
    </row>
    <row r="828" spans="1:10">
      <c r="A828" s="1929"/>
      <c r="B828" s="1930"/>
      <c r="C828" s="1930"/>
      <c r="D828" s="1930"/>
      <c r="E828" s="1930"/>
      <c r="F828" s="1930"/>
      <c r="G828" s="1930"/>
      <c r="H828" s="1930"/>
      <c r="I828" s="1931"/>
      <c r="J828" s="1795"/>
    </row>
    <row r="829" spans="1:10" ht="25.5" customHeight="1">
      <c r="A829" s="1784" t="str">
        <f>'PLANILHA SEM DESON'!B123</f>
        <v>COMP 20</v>
      </c>
      <c r="B829" s="1940" t="str">
        <f>VLOOKUP(A829,'PLANILHA SEM DESON'!$B$17:$D$1700,2,FALSE)</f>
        <v>REVESTIMENTO CERÂMICO PARA PAREDES INTERNAS COM PLACAS TIPO ESMALTADA EXTRA DE DIMENSÕES 30X60 CM APLICADAS EM AMBIENTES DE ÁREA MAIOR QUE 5 M² A MEIA ALTURA DAS PAREDES</v>
      </c>
      <c r="C829" s="1941"/>
      <c r="D829" s="1941"/>
      <c r="E829" s="1941"/>
      <c r="F829" s="1941"/>
      <c r="G829" s="1941"/>
      <c r="H829" s="1942"/>
      <c r="I829" s="1785" t="str">
        <f>VLOOKUP(A829,'PLANILHA SEM DESON'!$B$17:$D$1700,3,FALSE)</f>
        <v>m²</v>
      </c>
      <c r="J829" s="1786">
        <f>I836</f>
        <v>76.41</v>
      </c>
    </row>
    <row r="830" spans="1:10" ht="24">
      <c r="A830" s="1788" t="s">
        <v>2470</v>
      </c>
      <c r="B830" s="1789" t="s">
        <v>2471</v>
      </c>
      <c r="C830" s="1790" t="s">
        <v>2468</v>
      </c>
      <c r="D830" s="1791" t="s">
        <v>308</v>
      </c>
      <c r="E830" s="1790" t="s">
        <v>202</v>
      </c>
      <c r="F830" s="1792" t="s">
        <v>2472</v>
      </c>
      <c r="G830" s="1790" t="s">
        <v>2473</v>
      </c>
      <c r="H830" s="1793" t="s">
        <v>2474</v>
      </c>
      <c r="I830" s="1794" t="s">
        <v>2475</v>
      </c>
      <c r="J830" s="1795"/>
    </row>
    <row r="831" spans="1:10" ht="24">
      <c r="A831" s="1797"/>
      <c r="B831" s="1798"/>
      <c r="C831" s="1798">
        <v>88256</v>
      </c>
      <c r="D831" s="1799" t="s">
        <v>1477</v>
      </c>
      <c r="E831" s="1800" t="s">
        <v>57</v>
      </c>
      <c r="F831" s="1809">
        <v>0.91</v>
      </c>
      <c r="G831" s="1806">
        <v>24.49</v>
      </c>
      <c r="H831" s="1802">
        <f>IF(E831="H",G831,TRUNC(G831*(1-$K$7),2))</f>
        <v>24.49</v>
      </c>
      <c r="I831" s="1803">
        <f t="shared" ref="I831:I835" si="113">TRUNC(H831*F831,2)</f>
        <v>22.28</v>
      </c>
      <c r="J831" s="1795"/>
    </row>
    <row r="832" spans="1:10">
      <c r="A832" s="1797"/>
      <c r="B832" s="1798"/>
      <c r="C832" s="1798">
        <v>88316</v>
      </c>
      <c r="D832" s="1799" t="s">
        <v>66</v>
      </c>
      <c r="E832" s="1800" t="s">
        <v>57</v>
      </c>
      <c r="F832" s="1809">
        <v>0.46</v>
      </c>
      <c r="G832" s="1808">
        <v>19.45</v>
      </c>
      <c r="H832" s="1802">
        <f>IF(E832="H",G832,TRUNC(G832*(1-$K$7),2))</f>
        <v>19.45</v>
      </c>
      <c r="I832" s="1803">
        <f t="shared" si="113"/>
        <v>8.94</v>
      </c>
      <c r="J832" s="1795"/>
    </row>
    <row r="833" spans="1:10" ht="36">
      <c r="A833" s="1797"/>
      <c r="B833" s="1798"/>
      <c r="C833" s="1798">
        <v>536</v>
      </c>
      <c r="D833" s="1799" t="s">
        <v>1507</v>
      </c>
      <c r="E833" s="1800" t="s">
        <v>46</v>
      </c>
      <c r="F833" s="1806">
        <v>1.0900000000000001</v>
      </c>
      <c r="G833" s="1806">
        <v>34.9</v>
      </c>
      <c r="H833" s="1802">
        <f>IF(E833="H",G833,TRUNC(G833*(1-$K$7),2))</f>
        <v>34.72</v>
      </c>
      <c r="I833" s="1803">
        <f t="shared" si="113"/>
        <v>37.840000000000003</v>
      </c>
      <c r="J833" s="1795"/>
    </row>
    <row r="834" spans="1:10">
      <c r="A834" s="1797"/>
      <c r="B834" s="1798"/>
      <c r="C834" s="1798">
        <v>1381</v>
      </c>
      <c r="D834" s="1799" t="s">
        <v>1508</v>
      </c>
      <c r="E834" s="1800" t="s">
        <v>100</v>
      </c>
      <c r="F834" s="1806">
        <v>6.14</v>
      </c>
      <c r="G834" s="1806">
        <v>1</v>
      </c>
      <c r="H834" s="1802">
        <f>IF(E834="H",G834,TRUNC(G834*(1-$K$7),2))</f>
        <v>0.99</v>
      </c>
      <c r="I834" s="1803">
        <f t="shared" si="113"/>
        <v>6.07</v>
      </c>
      <c r="J834" s="1795"/>
    </row>
    <row r="835" spans="1:10">
      <c r="A835" s="1797"/>
      <c r="B835" s="1798"/>
      <c r="C835" s="1798">
        <v>34357</v>
      </c>
      <c r="D835" s="1799" t="s">
        <v>1478</v>
      </c>
      <c r="E835" s="1800" t="s">
        <v>100</v>
      </c>
      <c r="F835" s="1806">
        <v>0.22</v>
      </c>
      <c r="G835" s="1806">
        <v>5.87</v>
      </c>
      <c r="H835" s="1802">
        <f>IF(E835="H",G835,TRUNC(G835*(1-$K$7),2))</f>
        <v>5.84</v>
      </c>
      <c r="I835" s="1803">
        <f t="shared" si="113"/>
        <v>1.28</v>
      </c>
      <c r="J835" s="1795"/>
    </row>
    <row r="836" spans="1:10">
      <c r="A836" s="1943" t="s">
        <v>2477</v>
      </c>
      <c r="B836" s="1944"/>
      <c r="C836" s="1944"/>
      <c r="D836" s="1944"/>
      <c r="E836" s="1944"/>
      <c r="F836" s="1944"/>
      <c r="G836" s="1944"/>
      <c r="H836" s="1945"/>
      <c r="I836" s="1805">
        <f>SUM(I831:I835)</f>
        <v>76.41</v>
      </c>
      <c r="J836" s="1795"/>
    </row>
    <row r="837" spans="1:10">
      <c r="A837" s="1929"/>
      <c r="B837" s="1930"/>
      <c r="C837" s="1930"/>
      <c r="D837" s="1930"/>
      <c r="E837" s="1930"/>
      <c r="F837" s="1930"/>
      <c r="G837" s="1930"/>
      <c r="H837" s="1930"/>
      <c r="I837" s="1931"/>
      <c r="J837" s="1795"/>
    </row>
    <row r="838" spans="1:10" ht="24" customHeight="1">
      <c r="A838" s="1784" t="str">
        <f>'PLANILHA SEM DESON'!B124</f>
        <v>COMP 21</v>
      </c>
      <c r="B838" s="1940" t="str">
        <f>VLOOKUP(A838,'PLANILHA SEM DESON'!$B$17:$D$1700,2,FALSE)</f>
        <v>REVESTIMENTO CERÂMICO PARA PAREDES INTERNAS COM PLACAS TIPO ESMALTADA EXTRA DE DIMENSÕES 30X60 CM APLICADAS EM AMBIENTES DE ÁREA MENOR QUE 5 M² A MEIA ALTURA DAS PAREDES</v>
      </c>
      <c r="C838" s="1941"/>
      <c r="D838" s="1941"/>
      <c r="E838" s="1941"/>
      <c r="F838" s="1941"/>
      <c r="G838" s="1941"/>
      <c r="H838" s="1942"/>
      <c r="I838" s="1785" t="str">
        <f>VLOOKUP(A838,'PLANILHA SEM DESON'!$B$17:$D$1700,3,FALSE)</f>
        <v>m²</v>
      </c>
      <c r="J838" s="1786">
        <f>I845</f>
        <v>79.88</v>
      </c>
    </row>
    <row r="839" spans="1:10" ht="24">
      <c r="A839" s="1788" t="s">
        <v>2470</v>
      </c>
      <c r="B839" s="1789" t="s">
        <v>2471</v>
      </c>
      <c r="C839" s="1790" t="s">
        <v>2468</v>
      </c>
      <c r="D839" s="1791" t="s">
        <v>308</v>
      </c>
      <c r="E839" s="1790" t="s">
        <v>202</v>
      </c>
      <c r="F839" s="1792" t="s">
        <v>2472</v>
      </c>
      <c r="G839" s="1790" t="s">
        <v>2473</v>
      </c>
      <c r="H839" s="1793" t="s">
        <v>2474</v>
      </c>
      <c r="I839" s="1794" t="s">
        <v>2475</v>
      </c>
      <c r="J839" s="1795"/>
    </row>
    <row r="840" spans="1:10" ht="24">
      <c r="A840" s="1797"/>
      <c r="B840" s="1798"/>
      <c r="C840" s="1798">
        <v>88256</v>
      </c>
      <c r="D840" s="1799" t="s">
        <v>1477</v>
      </c>
      <c r="E840" s="1800" t="s">
        <v>57</v>
      </c>
      <c r="F840" s="1809">
        <v>1.02</v>
      </c>
      <c r="G840" s="1806">
        <v>24.49</v>
      </c>
      <c r="H840" s="1802">
        <f>IF(E840="H",G840,TRUNC(G840*(1-$K$7),2))</f>
        <v>24.49</v>
      </c>
      <c r="I840" s="1803">
        <f t="shared" ref="I840:I844" si="114">TRUNC(H840*F840,2)</f>
        <v>24.97</v>
      </c>
      <c r="J840" s="1795"/>
    </row>
    <row r="841" spans="1:10">
      <c r="A841" s="1797"/>
      <c r="B841" s="1798"/>
      <c r="C841" s="1798">
        <v>88316</v>
      </c>
      <c r="D841" s="1799" t="s">
        <v>66</v>
      </c>
      <c r="E841" s="1800" t="s">
        <v>57</v>
      </c>
      <c r="F841" s="1809">
        <v>0.5</v>
      </c>
      <c r="G841" s="1808">
        <v>19.45</v>
      </c>
      <c r="H841" s="1802">
        <f>IF(E841="H",G841,TRUNC(G841*(1-$K$7),2))</f>
        <v>19.45</v>
      </c>
      <c r="I841" s="1803">
        <f t="shared" si="114"/>
        <v>9.7200000000000006</v>
      </c>
      <c r="J841" s="1795"/>
    </row>
    <row r="842" spans="1:10" ht="36">
      <c r="A842" s="1797"/>
      <c r="B842" s="1798"/>
      <c r="C842" s="1798">
        <v>536</v>
      </c>
      <c r="D842" s="1799" t="s">
        <v>1507</v>
      </c>
      <c r="E842" s="1800" t="s">
        <v>46</v>
      </c>
      <c r="F842" s="1806">
        <v>1.0900000000000001</v>
      </c>
      <c r="G842" s="1806">
        <v>34.9</v>
      </c>
      <c r="H842" s="1802">
        <f>IF(E842="H",G842,TRUNC(G842*(1-$K$7),2))</f>
        <v>34.72</v>
      </c>
      <c r="I842" s="1803">
        <f t="shared" si="114"/>
        <v>37.840000000000003</v>
      </c>
      <c r="J842" s="1795"/>
    </row>
    <row r="843" spans="1:10">
      <c r="A843" s="1797"/>
      <c r="B843" s="1798"/>
      <c r="C843" s="1798">
        <v>1381</v>
      </c>
      <c r="D843" s="1799" t="s">
        <v>1508</v>
      </c>
      <c r="E843" s="1800" t="s">
        <v>100</v>
      </c>
      <c r="F843" s="1806">
        <v>6.14</v>
      </c>
      <c r="G843" s="1806">
        <v>1</v>
      </c>
      <c r="H843" s="1802">
        <f>IF(E843="H",G843,TRUNC(G843*(1-$K$7),2))</f>
        <v>0.99</v>
      </c>
      <c r="I843" s="1803">
        <f t="shared" si="114"/>
        <v>6.07</v>
      </c>
      <c r="J843" s="1795"/>
    </row>
    <row r="844" spans="1:10">
      <c r="A844" s="1797"/>
      <c r="B844" s="1798"/>
      <c r="C844" s="1798">
        <v>34357</v>
      </c>
      <c r="D844" s="1799" t="s">
        <v>1478</v>
      </c>
      <c r="E844" s="1800" t="s">
        <v>100</v>
      </c>
      <c r="F844" s="1806">
        <v>0.22</v>
      </c>
      <c r="G844" s="1806">
        <v>5.87</v>
      </c>
      <c r="H844" s="1802">
        <f>IF(E844="H",G844,TRUNC(G844*(1-$K$7),2))</f>
        <v>5.84</v>
      </c>
      <c r="I844" s="1803">
        <f t="shared" si="114"/>
        <v>1.28</v>
      </c>
      <c r="J844" s="1795"/>
    </row>
    <row r="845" spans="1:10">
      <c r="A845" s="1943" t="s">
        <v>2477</v>
      </c>
      <c r="B845" s="1944"/>
      <c r="C845" s="1944"/>
      <c r="D845" s="1944"/>
      <c r="E845" s="1944"/>
      <c r="F845" s="1944"/>
      <c r="G845" s="1944"/>
      <c r="H845" s="1945"/>
      <c r="I845" s="1805">
        <f>SUM(I840:I844)</f>
        <v>79.88</v>
      </c>
      <c r="J845" s="1795"/>
    </row>
    <row r="846" spans="1:10">
      <c r="A846" s="1929"/>
      <c r="B846" s="1930"/>
      <c r="C846" s="1930"/>
      <c r="D846" s="1930"/>
      <c r="E846" s="1930"/>
      <c r="F846" s="1930"/>
      <c r="G846" s="1930"/>
      <c r="H846" s="1930"/>
      <c r="I846" s="1931"/>
      <c r="J846" s="1795"/>
    </row>
    <row r="847" spans="1:10">
      <c r="A847" s="1784" t="str">
        <f>'PLANILHA SEM DESON'!B128</f>
        <v>COMP 07</v>
      </c>
      <c r="B847" s="1940" t="str">
        <f>VLOOKUP(A847,'PLANILHA SEM DESON'!$B$17:$D$1700,2,FALSE)</f>
        <v>PORTA DE MADEIRA 1,00 X 2,10 M; COM SUPORTE PARA PCD</v>
      </c>
      <c r="C847" s="1941"/>
      <c r="D847" s="1941"/>
      <c r="E847" s="1941"/>
      <c r="F847" s="1941"/>
      <c r="G847" s="1941"/>
      <c r="H847" s="1942"/>
      <c r="I847" s="1785" t="str">
        <f>VLOOKUP(A847,'PLANILHA SEM DESON'!$B$17:$D$1700,3,FALSE)</f>
        <v xml:space="preserve">un </v>
      </c>
      <c r="J847" s="1786">
        <f>I851</f>
        <v>2219.0500000000002</v>
      </c>
    </row>
    <row r="848" spans="1:10" ht="24">
      <c r="A848" s="1788" t="s">
        <v>2470</v>
      </c>
      <c r="B848" s="1789" t="s">
        <v>2471</v>
      </c>
      <c r="C848" s="1790" t="s">
        <v>2468</v>
      </c>
      <c r="D848" s="1791" t="s">
        <v>308</v>
      </c>
      <c r="E848" s="1790" t="s">
        <v>202</v>
      </c>
      <c r="F848" s="1792" t="s">
        <v>2472</v>
      </c>
      <c r="G848" s="1790" t="s">
        <v>2473</v>
      </c>
      <c r="H848" s="1793" t="s">
        <v>2474</v>
      </c>
      <c r="I848" s="1794" t="s">
        <v>2475</v>
      </c>
      <c r="J848" s="1795"/>
    </row>
    <row r="849" spans="1:10" ht="24">
      <c r="A849" s="1797"/>
      <c r="B849" s="1798"/>
      <c r="C849" s="1798" t="s">
        <v>65</v>
      </c>
      <c r="D849" s="1799" t="s">
        <v>1645</v>
      </c>
      <c r="E849" s="1800" t="s">
        <v>55</v>
      </c>
      <c r="F849" s="1809">
        <v>1</v>
      </c>
      <c r="G849" s="1808">
        <v>1820</v>
      </c>
      <c r="H849" s="1802">
        <f>IF(E849="H",G849,TRUNC(G849*(1-$K$7),2))</f>
        <v>1810.71</v>
      </c>
      <c r="I849" s="1803">
        <f t="shared" ref="I849:I850" si="115">TRUNC(H849*F849,2)</f>
        <v>1810.71</v>
      </c>
      <c r="J849" s="1795"/>
    </row>
    <row r="850" spans="1:10" ht="24">
      <c r="A850" s="1797"/>
      <c r="B850" s="1798"/>
      <c r="C850" s="1798" t="s">
        <v>558</v>
      </c>
      <c r="D850" s="1799" t="s">
        <v>559</v>
      </c>
      <c r="E850" s="1800" t="s">
        <v>55</v>
      </c>
      <c r="F850" s="1811">
        <v>1</v>
      </c>
      <c r="G850" s="1808">
        <v>410.44</v>
      </c>
      <c r="H850" s="1802">
        <f>IF(E850="H",G850,TRUNC(G850*(1-$K$7),2))</f>
        <v>408.34</v>
      </c>
      <c r="I850" s="1803">
        <f t="shared" si="115"/>
        <v>408.34</v>
      </c>
      <c r="J850" s="1795"/>
    </row>
    <row r="851" spans="1:10">
      <c r="A851" s="1943" t="s">
        <v>2477</v>
      </c>
      <c r="B851" s="1944"/>
      <c r="C851" s="1944"/>
      <c r="D851" s="1944"/>
      <c r="E851" s="1944"/>
      <c r="F851" s="1944"/>
      <c r="G851" s="1944"/>
      <c r="H851" s="1945"/>
      <c r="I851" s="1805">
        <f>SUM(I849:I850)</f>
        <v>2219.0500000000002</v>
      </c>
      <c r="J851" s="1795"/>
    </row>
    <row r="852" spans="1:10">
      <c r="A852" s="1929"/>
      <c r="B852" s="1930"/>
      <c r="C852" s="1930"/>
      <c r="D852" s="1930"/>
      <c r="E852" s="1930"/>
      <c r="F852" s="1930"/>
      <c r="G852" s="1930"/>
      <c r="H852" s="1930"/>
      <c r="I852" s="1931"/>
      <c r="J852" s="1795"/>
    </row>
    <row r="853" spans="1:10" ht="41.25" customHeight="1">
      <c r="A853" s="1784">
        <f>'PLANILHA SEM DESON'!B129</f>
        <v>90845</v>
      </c>
      <c r="B853" s="1940" t="str">
        <f>VLOOKUP(A853,'PLANILHA SEM DESON'!$B$17:$D$1700,2,FALSE)</f>
        <v>KIT DE PORTA DE MADEIRA PARA PINTURA, SEMI-OCA (PESADA OU SUPERPESADA), PADRÃO MÉDIO, 80X210CM, ESPESSURA DE 3,5CM, ITENS INCLUSOS: DOBRADIÇAS, MONTAGEM E INSTALAÇÃO DO BATENTE, FECHADURA COM EXECUÇÃO DO FURO - FORNECIMENTO E INSTALAÇÃO. AF_12/2019</v>
      </c>
      <c r="C853" s="1941"/>
      <c r="D853" s="1941"/>
      <c r="E853" s="1941"/>
      <c r="F853" s="1941"/>
      <c r="G853" s="1941"/>
      <c r="H853" s="1942"/>
      <c r="I853" s="1785" t="str">
        <f>VLOOKUP(A853,'PLANILHA SEM DESON'!$B$17:$D$1700,3,FALSE)</f>
        <v xml:space="preserve">un </v>
      </c>
      <c r="J853" s="1786">
        <f>I859</f>
        <v>1372.3999999999999</v>
      </c>
    </row>
    <row r="854" spans="1:10" ht="24">
      <c r="A854" s="1788" t="s">
        <v>2470</v>
      </c>
      <c r="B854" s="1789" t="s">
        <v>2471</v>
      </c>
      <c r="C854" s="1790" t="s">
        <v>2468</v>
      </c>
      <c r="D854" s="1791" t="s">
        <v>308</v>
      </c>
      <c r="E854" s="1790" t="s">
        <v>202</v>
      </c>
      <c r="F854" s="1792" t="s">
        <v>2472</v>
      </c>
      <c r="G854" s="1790" t="s">
        <v>2473</v>
      </c>
      <c r="H854" s="1793" t="s">
        <v>2474</v>
      </c>
      <c r="I854" s="1794" t="s">
        <v>2475</v>
      </c>
      <c r="J854" s="1795"/>
    </row>
    <row r="855" spans="1:10" ht="36">
      <c r="A855" s="1797" t="s">
        <v>2476</v>
      </c>
      <c r="B855" s="1798" t="s">
        <v>7</v>
      </c>
      <c r="C855" s="1798">
        <v>90806</v>
      </c>
      <c r="D855" s="1799" t="s">
        <v>2666</v>
      </c>
      <c r="E855" s="1800" t="s">
        <v>2501</v>
      </c>
      <c r="F855" s="1807">
        <v>1</v>
      </c>
      <c r="G855" s="1801">
        <v>378.77</v>
      </c>
      <c r="H855" s="1802">
        <f>IF(E855="H",G855,TRUNC(G855*(1-$K$7),2))</f>
        <v>376.83</v>
      </c>
      <c r="I855" s="1803">
        <f t="shared" ref="I855:I858" si="116">TRUNC(H855*F855,2)</f>
        <v>376.83</v>
      </c>
      <c r="J855" s="1795"/>
    </row>
    <row r="856" spans="1:10" ht="48">
      <c r="A856" s="1797" t="s">
        <v>2476</v>
      </c>
      <c r="B856" s="1798" t="s">
        <v>7</v>
      </c>
      <c r="C856" s="1798">
        <v>90824</v>
      </c>
      <c r="D856" s="1799" t="s">
        <v>2667</v>
      </c>
      <c r="E856" s="1800" t="s">
        <v>2501</v>
      </c>
      <c r="F856" s="1807">
        <v>1</v>
      </c>
      <c r="G856" s="1801">
        <v>701.97</v>
      </c>
      <c r="H856" s="1802">
        <f>IF(E856="H",G856,TRUNC(G856*(1-$K$7),2))</f>
        <v>698.38</v>
      </c>
      <c r="I856" s="1803">
        <f t="shared" si="116"/>
        <v>698.38</v>
      </c>
      <c r="J856" s="1795"/>
    </row>
    <row r="857" spans="1:10" ht="48">
      <c r="A857" s="1797" t="s">
        <v>2476</v>
      </c>
      <c r="B857" s="1798" t="s">
        <v>7</v>
      </c>
      <c r="C857" s="1798">
        <v>90830</v>
      </c>
      <c r="D857" s="1799" t="s">
        <v>2668</v>
      </c>
      <c r="E857" s="1800" t="s">
        <v>2501</v>
      </c>
      <c r="F857" s="1807">
        <v>1</v>
      </c>
      <c r="G857" s="1801">
        <v>191.07</v>
      </c>
      <c r="H857" s="1802">
        <f>IF(E857="H",G857,TRUNC(G857*(1-$K$7),2))</f>
        <v>190.09</v>
      </c>
      <c r="I857" s="1803">
        <f t="shared" si="116"/>
        <v>190.09</v>
      </c>
      <c r="J857" s="1795"/>
    </row>
    <row r="858" spans="1:10" ht="36">
      <c r="A858" s="1797" t="s">
        <v>2476</v>
      </c>
      <c r="B858" s="1798" t="s">
        <v>7</v>
      </c>
      <c r="C858" s="1798">
        <v>100659</v>
      </c>
      <c r="D858" s="1799" t="s">
        <v>2669</v>
      </c>
      <c r="E858" s="1800" t="s">
        <v>160</v>
      </c>
      <c r="F858" s="1807">
        <v>10</v>
      </c>
      <c r="G858" s="1801">
        <v>10.77</v>
      </c>
      <c r="H858" s="1802">
        <f>IF(E858="H",G858,TRUNC(G858*(1-$K$7),2))</f>
        <v>10.71</v>
      </c>
      <c r="I858" s="1803">
        <f t="shared" si="116"/>
        <v>107.1</v>
      </c>
      <c r="J858" s="1795"/>
    </row>
    <row r="859" spans="1:10">
      <c r="A859" s="1943" t="s">
        <v>2477</v>
      </c>
      <c r="B859" s="1944"/>
      <c r="C859" s="1944"/>
      <c r="D859" s="1944"/>
      <c r="E859" s="1944"/>
      <c r="F859" s="1944"/>
      <c r="G859" s="1944"/>
      <c r="H859" s="1945"/>
      <c r="I859" s="1805">
        <f>SUM(I855:I858)</f>
        <v>1372.3999999999999</v>
      </c>
      <c r="J859" s="1795"/>
    </row>
    <row r="860" spans="1:10">
      <c r="A860" s="1929"/>
      <c r="B860" s="1930"/>
      <c r="C860" s="1930"/>
      <c r="D860" s="1930"/>
      <c r="E860" s="1930"/>
      <c r="F860" s="1930"/>
      <c r="G860" s="1930"/>
      <c r="H860" s="1930"/>
      <c r="I860" s="1931"/>
      <c r="J860" s="1795"/>
    </row>
    <row r="861" spans="1:10" ht="24.75" customHeight="1">
      <c r="A861" s="1784" t="str">
        <f>'PLANILHA SEM DESON'!B130</f>
        <v>COMP 05</v>
      </c>
      <c r="B861" s="1940" t="str">
        <f>VLOOKUP(A861,'PLANILHA SEM DESON'!$B$17:$D$1700,2,FALSE)</f>
        <v xml:space="preserve">PORTA EM MADEIRA LISA COMUM, 0,80X2,10M, ENCABEÇADA DE CORRER COM TRILHO DE ALUMÍNIO - FORNECIMENTO E INSTALAÇÃO. </v>
      </c>
      <c r="C861" s="1941"/>
      <c r="D861" s="1941"/>
      <c r="E861" s="1941"/>
      <c r="F861" s="1941"/>
      <c r="G861" s="1941"/>
      <c r="H861" s="1942"/>
      <c r="I861" s="1785" t="str">
        <f>VLOOKUP(A861,'PLANILHA SEM DESON'!$B$17:$D$1700,3,FALSE)</f>
        <v xml:space="preserve">un </v>
      </c>
      <c r="J861" s="1786">
        <f>I864</f>
        <v>1751.02</v>
      </c>
    </row>
    <row r="862" spans="1:10" ht="24">
      <c r="A862" s="1788" t="s">
        <v>2470</v>
      </c>
      <c r="B862" s="1789" t="s">
        <v>2471</v>
      </c>
      <c r="C862" s="1790" t="s">
        <v>2468</v>
      </c>
      <c r="D862" s="1791" t="s">
        <v>308</v>
      </c>
      <c r="E862" s="1790" t="s">
        <v>202</v>
      </c>
      <c r="F862" s="1792" t="s">
        <v>2472</v>
      </c>
      <c r="G862" s="1790" t="s">
        <v>2473</v>
      </c>
      <c r="H862" s="1793" t="s">
        <v>2474</v>
      </c>
      <c r="I862" s="1794" t="s">
        <v>2475</v>
      </c>
      <c r="J862" s="1795"/>
    </row>
    <row r="863" spans="1:10" ht="24">
      <c r="A863" s="1797"/>
      <c r="B863" s="1798"/>
      <c r="C863" s="1798" t="s">
        <v>65</v>
      </c>
      <c r="D863" s="1799" t="s">
        <v>2227</v>
      </c>
      <c r="E863" s="1800" t="s">
        <v>55</v>
      </c>
      <c r="F863" s="1809">
        <v>1</v>
      </c>
      <c r="G863" s="1808">
        <v>1760</v>
      </c>
      <c r="H863" s="1802">
        <f>IF(E863="H",G863,TRUNC(G863*(1-$K$7),2))</f>
        <v>1751.02</v>
      </c>
      <c r="I863" s="1803">
        <f t="shared" ref="I863" si="117">TRUNC(H863*F863,2)</f>
        <v>1751.02</v>
      </c>
      <c r="J863" s="1795"/>
    </row>
    <row r="864" spans="1:10">
      <c r="A864" s="1943" t="s">
        <v>2477</v>
      </c>
      <c r="B864" s="1944"/>
      <c r="C864" s="1944"/>
      <c r="D864" s="1944"/>
      <c r="E864" s="1944"/>
      <c r="F864" s="1944"/>
      <c r="G864" s="1944"/>
      <c r="H864" s="1945"/>
      <c r="I864" s="1805">
        <f>SUM(I863:I863)</f>
        <v>1751.02</v>
      </c>
      <c r="J864" s="1795"/>
    </row>
    <row r="865" spans="1:10">
      <c r="A865" s="1929"/>
      <c r="B865" s="1930"/>
      <c r="C865" s="1930"/>
      <c r="D865" s="1930"/>
      <c r="E865" s="1930"/>
      <c r="F865" s="1930"/>
      <c r="G865" s="1930"/>
      <c r="H865" s="1930"/>
      <c r="I865" s="1931"/>
      <c r="J865" s="1795"/>
    </row>
    <row r="866" spans="1:10" ht="27.75" customHeight="1">
      <c r="A866" s="1784">
        <f>'PLANILHA SEM DESON'!B132</f>
        <v>101965</v>
      </c>
      <c r="B866" s="1940" t="str">
        <f>VLOOKUP(A866,'PLANILHA SEM DESON'!$B$17:$D$1700,2,FALSE)</f>
        <v>PEITORIL LINEAR EM GRANITO OU MÁRMORE, L = 15CM, COMPRIMENTO DE ATÉ 2M, ASSENTADO COM ARGAMASSA 1:6 COM ADITIVO. AF_11/2020</v>
      </c>
      <c r="C866" s="1941"/>
      <c r="D866" s="1941"/>
      <c r="E866" s="1941"/>
      <c r="F866" s="1941"/>
      <c r="G866" s="1941"/>
      <c r="H866" s="1942"/>
      <c r="I866" s="1785" t="str">
        <f>VLOOKUP(A866,'PLANILHA SEM DESON'!$B$17:$D$1700,3,FALSE)</f>
        <v>m</v>
      </c>
      <c r="J866" s="1786">
        <f>I874</f>
        <v>122.94000000000001</v>
      </c>
    </row>
    <row r="867" spans="1:10" ht="24">
      <c r="A867" s="1788" t="s">
        <v>2470</v>
      </c>
      <c r="B867" s="1789" t="s">
        <v>2471</v>
      </c>
      <c r="C867" s="1790" t="s">
        <v>2468</v>
      </c>
      <c r="D867" s="1791" t="s">
        <v>308</v>
      </c>
      <c r="E867" s="1790" t="s">
        <v>202</v>
      </c>
      <c r="F867" s="1792" t="s">
        <v>2472</v>
      </c>
      <c r="G867" s="1790" t="s">
        <v>2473</v>
      </c>
      <c r="H867" s="1793" t="s">
        <v>2474</v>
      </c>
      <c r="I867" s="1794" t="s">
        <v>2475</v>
      </c>
      <c r="J867" s="1795"/>
    </row>
    <row r="868" spans="1:10" ht="24">
      <c r="A868" s="1797" t="s">
        <v>2476</v>
      </c>
      <c r="B868" s="1798" t="s">
        <v>2479</v>
      </c>
      <c r="C868" s="1798">
        <v>34747</v>
      </c>
      <c r="D868" s="1799" t="s">
        <v>2670</v>
      </c>
      <c r="E868" s="1800" t="s">
        <v>160</v>
      </c>
      <c r="F868" s="1807">
        <v>1.04</v>
      </c>
      <c r="G868" s="1801">
        <v>94.46</v>
      </c>
      <c r="H868" s="1802">
        <f t="shared" ref="H868:H873" si="118">IF(E868="H",G868,TRUNC(G868*(1-$K$7),2))</f>
        <v>93.97</v>
      </c>
      <c r="I868" s="1803">
        <f t="shared" ref="I868:I873" si="119">TRUNC(H868*F868,2)</f>
        <v>97.72</v>
      </c>
      <c r="J868" s="1795"/>
    </row>
    <row r="869" spans="1:10" ht="60">
      <c r="A869" s="1797" t="s">
        <v>2476</v>
      </c>
      <c r="B869" s="1798" t="s">
        <v>7</v>
      </c>
      <c r="C869" s="1798">
        <v>87283</v>
      </c>
      <c r="D869" s="1799" t="s">
        <v>2671</v>
      </c>
      <c r="E869" s="1800" t="s">
        <v>1171</v>
      </c>
      <c r="F869" s="1807">
        <v>6.0000000000000001E-3</v>
      </c>
      <c r="G869" s="1801">
        <v>508.66</v>
      </c>
      <c r="H869" s="1802">
        <f t="shared" si="118"/>
        <v>506.06</v>
      </c>
      <c r="I869" s="1803">
        <f t="shared" si="119"/>
        <v>3.03</v>
      </c>
      <c r="J869" s="1795"/>
    </row>
    <row r="870" spans="1:10" ht="24">
      <c r="A870" s="1797" t="s">
        <v>2476</v>
      </c>
      <c r="B870" s="1798" t="s">
        <v>7</v>
      </c>
      <c r="C870" s="1798">
        <v>88274</v>
      </c>
      <c r="D870" s="1799" t="s">
        <v>2672</v>
      </c>
      <c r="E870" s="1800" t="s">
        <v>411</v>
      </c>
      <c r="F870" s="1807">
        <v>0.41899999999999998</v>
      </c>
      <c r="G870" s="1801">
        <v>24.49</v>
      </c>
      <c r="H870" s="1802">
        <f t="shared" si="118"/>
        <v>24.49</v>
      </c>
      <c r="I870" s="1803">
        <f t="shared" si="119"/>
        <v>10.26</v>
      </c>
      <c r="J870" s="1795"/>
    </row>
    <row r="871" spans="1:10">
      <c r="A871" s="1797" t="s">
        <v>2476</v>
      </c>
      <c r="B871" s="1798" t="s">
        <v>7</v>
      </c>
      <c r="C871" s="1798">
        <v>88316</v>
      </c>
      <c r="D871" s="1799" t="s">
        <v>66</v>
      </c>
      <c r="E871" s="1800" t="s">
        <v>411</v>
      </c>
      <c r="F871" s="1807">
        <v>0.20899999999999999</v>
      </c>
      <c r="G871" s="1801">
        <v>19.45</v>
      </c>
      <c r="H871" s="1802">
        <f t="shared" si="118"/>
        <v>19.45</v>
      </c>
      <c r="I871" s="1803">
        <f t="shared" si="119"/>
        <v>4.0599999999999996</v>
      </c>
      <c r="J871" s="1795"/>
    </row>
    <row r="872" spans="1:10" ht="36">
      <c r="A872" s="1797" t="s">
        <v>2476</v>
      </c>
      <c r="B872" s="1798" t="s">
        <v>7</v>
      </c>
      <c r="C872" s="1798">
        <v>91692</v>
      </c>
      <c r="D872" s="1799" t="s">
        <v>2493</v>
      </c>
      <c r="E872" s="1800" t="s">
        <v>456</v>
      </c>
      <c r="F872" s="1807">
        <v>2.1000000000000001E-2</v>
      </c>
      <c r="G872" s="1801">
        <v>20.41</v>
      </c>
      <c r="H872" s="1802">
        <f t="shared" si="118"/>
        <v>20.3</v>
      </c>
      <c r="I872" s="1803">
        <f t="shared" si="119"/>
        <v>0.42</v>
      </c>
      <c r="J872" s="1795"/>
    </row>
    <row r="873" spans="1:10" ht="36">
      <c r="A873" s="1797" t="s">
        <v>2476</v>
      </c>
      <c r="B873" s="1798" t="s">
        <v>7</v>
      </c>
      <c r="C873" s="1798">
        <v>91693</v>
      </c>
      <c r="D873" s="1799" t="s">
        <v>2494</v>
      </c>
      <c r="E873" s="1800" t="s">
        <v>577</v>
      </c>
      <c r="F873" s="1807">
        <v>0.39800000000000002</v>
      </c>
      <c r="G873" s="1801">
        <v>18.84</v>
      </c>
      <c r="H873" s="1802">
        <f t="shared" si="118"/>
        <v>18.739999999999998</v>
      </c>
      <c r="I873" s="1803">
        <f t="shared" si="119"/>
        <v>7.45</v>
      </c>
      <c r="J873" s="1795"/>
    </row>
    <row r="874" spans="1:10">
      <c r="A874" s="1943" t="s">
        <v>2477</v>
      </c>
      <c r="B874" s="1944"/>
      <c r="C874" s="1944"/>
      <c r="D874" s="1944"/>
      <c r="E874" s="1944"/>
      <c r="F874" s="1944"/>
      <c r="G874" s="1944"/>
      <c r="H874" s="1945"/>
      <c r="I874" s="1805">
        <f>SUM(I868:I873)</f>
        <v>122.94000000000001</v>
      </c>
      <c r="J874" s="1795"/>
    </row>
    <row r="875" spans="1:10">
      <c r="A875" s="1929"/>
      <c r="B875" s="1930"/>
      <c r="C875" s="1930"/>
      <c r="D875" s="1930"/>
      <c r="E875" s="1930"/>
      <c r="F875" s="1930"/>
      <c r="G875" s="1930"/>
      <c r="H875" s="1930"/>
      <c r="I875" s="1931"/>
      <c r="J875" s="1795"/>
    </row>
    <row r="876" spans="1:10">
      <c r="A876" s="1784">
        <f>'PLANILHA SEM DESON'!B133</f>
        <v>98689</v>
      </c>
      <c r="B876" s="1940" t="str">
        <f>VLOOKUP(A876,'PLANILHA SEM DESON'!$B$17:$D$1700,2,FALSE)</f>
        <v>SOLEIRA EM GRANITO, LARGURA 15 CM, ESPESSURA 2,0 CM. AF_06/2018</v>
      </c>
      <c r="C876" s="1941"/>
      <c r="D876" s="1941"/>
      <c r="E876" s="1941"/>
      <c r="F876" s="1941"/>
      <c r="G876" s="1941"/>
      <c r="H876" s="1942"/>
      <c r="I876" s="1785" t="str">
        <f>VLOOKUP(A876,'PLANILHA SEM DESON'!$B$17:$D$1700,3,FALSE)</f>
        <v>m</v>
      </c>
      <c r="J876" s="1786">
        <f>I882</f>
        <v>137.90000000000003</v>
      </c>
    </row>
    <row r="877" spans="1:10" ht="24">
      <c r="A877" s="1788" t="s">
        <v>2470</v>
      </c>
      <c r="B877" s="1789" t="s">
        <v>2471</v>
      </c>
      <c r="C877" s="1790" t="s">
        <v>2468</v>
      </c>
      <c r="D877" s="1791" t="s">
        <v>308</v>
      </c>
      <c r="E877" s="1790" t="s">
        <v>202</v>
      </c>
      <c r="F877" s="1792" t="s">
        <v>2472</v>
      </c>
      <c r="G877" s="1790" t="s">
        <v>2473</v>
      </c>
      <c r="H877" s="1793" t="s">
        <v>2474</v>
      </c>
      <c r="I877" s="1794" t="s">
        <v>2475</v>
      </c>
      <c r="J877" s="1795"/>
    </row>
    <row r="878" spans="1:10" ht="36">
      <c r="A878" s="1797" t="s">
        <v>2476</v>
      </c>
      <c r="B878" s="1798" t="s">
        <v>2479</v>
      </c>
      <c r="C878" s="1798">
        <v>20232</v>
      </c>
      <c r="D878" s="1799" t="s">
        <v>2673</v>
      </c>
      <c r="E878" s="1800" t="s">
        <v>160</v>
      </c>
      <c r="F878" s="1807">
        <v>1</v>
      </c>
      <c r="G878" s="1801">
        <v>115.88</v>
      </c>
      <c r="H878" s="1802">
        <f>IF(E878="H",G878,TRUNC(G878*(1-$K$7),2))</f>
        <v>115.28</v>
      </c>
      <c r="I878" s="1803">
        <f t="shared" ref="I878:I881" si="120">TRUNC(H878*F878,2)</f>
        <v>115.28</v>
      </c>
      <c r="J878" s="1795"/>
    </row>
    <row r="879" spans="1:10">
      <c r="A879" s="1797" t="s">
        <v>2476</v>
      </c>
      <c r="B879" s="1798" t="s">
        <v>2479</v>
      </c>
      <c r="C879" s="1798">
        <v>37595</v>
      </c>
      <c r="D879" s="1799" t="s">
        <v>568</v>
      </c>
      <c r="E879" s="1800" t="s">
        <v>1184</v>
      </c>
      <c r="F879" s="1807">
        <v>1.29</v>
      </c>
      <c r="G879" s="1801">
        <v>3.07</v>
      </c>
      <c r="H879" s="1802">
        <f>IF(E879="H",G879,TRUNC(G879*(1-$K$7),2))</f>
        <v>3.05</v>
      </c>
      <c r="I879" s="1803">
        <f t="shared" si="120"/>
        <v>3.93</v>
      </c>
      <c r="J879" s="1795"/>
    </row>
    <row r="880" spans="1:10" ht="24">
      <c r="A880" s="1797" t="s">
        <v>2476</v>
      </c>
      <c r="B880" s="1798" t="s">
        <v>7</v>
      </c>
      <c r="C880" s="1798">
        <v>88274</v>
      </c>
      <c r="D880" s="1799" t="s">
        <v>2672</v>
      </c>
      <c r="E880" s="1800" t="s">
        <v>411</v>
      </c>
      <c r="F880" s="1807">
        <v>0.54700000000000004</v>
      </c>
      <c r="G880" s="1801">
        <v>24.49</v>
      </c>
      <c r="H880" s="1802">
        <f>IF(E880="H",G880,TRUNC(G880*(1-$K$7),2))</f>
        <v>24.49</v>
      </c>
      <c r="I880" s="1803">
        <f t="shared" si="120"/>
        <v>13.39</v>
      </c>
      <c r="J880" s="1795"/>
    </row>
    <row r="881" spans="1:10">
      <c r="A881" s="1797" t="s">
        <v>2476</v>
      </c>
      <c r="B881" s="1798" t="s">
        <v>7</v>
      </c>
      <c r="C881" s="1798">
        <v>88316</v>
      </c>
      <c r="D881" s="1799" t="s">
        <v>66</v>
      </c>
      <c r="E881" s="1800" t="s">
        <v>411</v>
      </c>
      <c r="F881" s="1807">
        <v>0.27300000000000002</v>
      </c>
      <c r="G881" s="1801">
        <v>19.45</v>
      </c>
      <c r="H881" s="1802">
        <f>IF(E881="H",G881,TRUNC(G881*(1-$K$7),2))</f>
        <v>19.45</v>
      </c>
      <c r="I881" s="1803">
        <f t="shared" si="120"/>
        <v>5.3</v>
      </c>
      <c r="J881" s="1795"/>
    </row>
    <row r="882" spans="1:10">
      <c r="A882" s="1943" t="s">
        <v>2477</v>
      </c>
      <c r="B882" s="1944"/>
      <c r="C882" s="1944"/>
      <c r="D882" s="1944"/>
      <c r="E882" s="1944"/>
      <c r="F882" s="1944"/>
      <c r="G882" s="1944"/>
      <c r="H882" s="1945"/>
      <c r="I882" s="1805">
        <f>SUM(I878:I881)</f>
        <v>137.90000000000003</v>
      </c>
      <c r="J882" s="1795"/>
    </row>
    <row r="883" spans="1:10">
      <c r="A883" s="1929"/>
      <c r="B883" s="1930"/>
      <c r="C883" s="1930"/>
      <c r="D883" s="1930"/>
      <c r="E883" s="1930"/>
      <c r="F883" s="1930"/>
      <c r="G883" s="1930"/>
      <c r="H883" s="1930"/>
      <c r="I883" s="1931"/>
      <c r="J883" s="1795"/>
    </row>
    <row r="884" spans="1:10" ht="25.5" customHeight="1">
      <c r="A884" s="1784" t="str">
        <f>'PLANILHA SEM DESON'!B134</f>
        <v>COMP 04</v>
      </c>
      <c r="B884" s="1940" t="str">
        <f>VLOOKUP(A884,'PLANILHA SEM DESON'!$B$17:$D$1700,2,FALSE)</f>
        <v xml:space="preserve">PORTA EM ALUMÍNIO ANODIZADO DE ABRIR, 2 FOLHAS, PARA VIDRO COM GUARNIÇÃO, INCLUSIVE VIDROS - FORNECIMENTO E INSTALAÇÃO. </v>
      </c>
      <c r="C884" s="1941"/>
      <c r="D884" s="1941"/>
      <c r="E884" s="1941"/>
      <c r="F884" s="1941"/>
      <c r="G884" s="1941"/>
      <c r="H884" s="1942"/>
      <c r="I884" s="1785" t="str">
        <f>VLOOKUP(A884,'PLANILHA SEM DESON'!$B$17:$D$1700,3,FALSE)</f>
        <v xml:space="preserve">un </v>
      </c>
      <c r="J884" s="1786">
        <f>I890</f>
        <v>3911.97</v>
      </c>
    </row>
    <row r="885" spans="1:10" ht="24">
      <c r="A885" s="1788" t="s">
        <v>2470</v>
      </c>
      <c r="B885" s="1789" t="s">
        <v>2471</v>
      </c>
      <c r="C885" s="1790" t="s">
        <v>2468</v>
      </c>
      <c r="D885" s="1791" t="s">
        <v>308</v>
      </c>
      <c r="E885" s="1790" t="s">
        <v>202</v>
      </c>
      <c r="F885" s="1792" t="s">
        <v>2472</v>
      </c>
      <c r="G885" s="1790" t="s">
        <v>2473</v>
      </c>
      <c r="H885" s="1793" t="s">
        <v>2474</v>
      </c>
      <c r="I885" s="1794" t="s">
        <v>2475</v>
      </c>
      <c r="J885" s="1795"/>
    </row>
    <row r="886" spans="1:10">
      <c r="A886" s="1797"/>
      <c r="B886" s="1798"/>
      <c r="C886" s="1798">
        <v>88309</v>
      </c>
      <c r="D886" s="1799" t="s">
        <v>103</v>
      </c>
      <c r="E886" s="1800" t="s">
        <v>57</v>
      </c>
      <c r="F886" s="1809">
        <v>2.73</v>
      </c>
      <c r="G886" s="1807">
        <v>24.59</v>
      </c>
      <c r="H886" s="1802">
        <f>IF(E886="H",G886,TRUNC(G886*(1-$K$7),2))</f>
        <v>24.59</v>
      </c>
      <c r="I886" s="1803">
        <f t="shared" ref="I886:I889" si="121">TRUNC(H886*F886,2)</f>
        <v>67.13</v>
      </c>
      <c r="J886" s="1795"/>
    </row>
    <row r="887" spans="1:10">
      <c r="A887" s="1797"/>
      <c r="B887" s="1798"/>
      <c r="C887" s="1798">
        <v>88316</v>
      </c>
      <c r="D887" s="1799" t="s">
        <v>66</v>
      </c>
      <c r="E887" s="1800" t="s">
        <v>57</v>
      </c>
      <c r="F887" s="1809">
        <v>4.0949999999999998</v>
      </c>
      <c r="G887" s="1808">
        <v>19.45</v>
      </c>
      <c r="H887" s="1802">
        <f>IF(E887="H",G887,TRUNC(G887*(1-$K$7),2))</f>
        <v>19.45</v>
      </c>
      <c r="I887" s="1803">
        <f t="shared" si="121"/>
        <v>79.64</v>
      </c>
      <c r="J887" s="1795"/>
    </row>
    <row r="888" spans="1:10" ht="36">
      <c r="A888" s="1797"/>
      <c r="B888" s="1798"/>
      <c r="C888" s="1798">
        <v>88630</v>
      </c>
      <c r="D888" s="1799" t="s">
        <v>1640</v>
      </c>
      <c r="E888" s="1800" t="s">
        <v>47</v>
      </c>
      <c r="F888" s="1812">
        <v>8.1899999999999994E-3</v>
      </c>
      <c r="G888" s="1806">
        <v>549.95000000000005</v>
      </c>
      <c r="H888" s="1802">
        <f>IF(E888="H",G888,TRUNC(G888*(1-$K$7),2))</f>
        <v>547.14</v>
      </c>
      <c r="I888" s="1803">
        <f t="shared" si="121"/>
        <v>4.4800000000000004</v>
      </c>
      <c r="J888" s="1795"/>
    </row>
    <row r="889" spans="1:10" ht="48">
      <c r="A889" s="1797"/>
      <c r="B889" s="1798"/>
      <c r="C889" s="1798" t="s">
        <v>65</v>
      </c>
      <c r="D889" s="1799" t="s">
        <v>2226</v>
      </c>
      <c r="E889" s="1800" t="s">
        <v>55</v>
      </c>
      <c r="F889" s="1811">
        <v>1</v>
      </c>
      <c r="G889" s="1806">
        <v>3780</v>
      </c>
      <c r="H889" s="1802">
        <f>IF(E889="H",G889,TRUNC(G889*(1-$K$7),2))</f>
        <v>3760.72</v>
      </c>
      <c r="I889" s="1803">
        <f t="shared" si="121"/>
        <v>3760.72</v>
      </c>
      <c r="J889" s="1795"/>
    </row>
    <row r="890" spans="1:10">
      <c r="A890" s="1943" t="s">
        <v>2477</v>
      </c>
      <c r="B890" s="1944"/>
      <c r="C890" s="1944"/>
      <c r="D890" s="1944"/>
      <c r="E890" s="1944"/>
      <c r="F890" s="1944"/>
      <c r="G890" s="1944"/>
      <c r="H890" s="1945"/>
      <c r="I890" s="1805">
        <f>SUM(I886:I889)</f>
        <v>3911.97</v>
      </c>
      <c r="J890" s="1795"/>
    </row>
    <row r="891" spans="1:10">
      <c r="A891" s="1929"/>
      <c r="B891" s="1930"/>
      <c r="C891" s="1930"/>
      <c r="D891" s="1930"/>
      <c r="E891" s="1930"/>
      <c r="F891" s="1930"/>
      <c r="G891" s="1930"/>
      <c r="H891" s="1930"/>
      <c r="I891" s="1931"/>
      <c r="J891" s="1795"/>
    </row>
    <row r="892" spans="1:10" ht="21" customHeight="1">
      <c r="A892" s="1784">
        <f>'PLANILHA SEM DESON'!B135</f>
        <v>91341</v>
      </c>
      <c r="B892" s="1940" t="str">
        <f>VLOOKUP(A892,'PLANILHA SEM DESON'!$B$17:$D$1700,2,FALSE)</f>
        <v>PORTA EM ALUMÍNIO DE ABRIR TIPO VENEZIANA COM GUARNIÇÃO, FIXAÇÃO COM PARAFUSOS - FORNECIMENTO E INSTALAÇÃO. AF_12/2019</v>
      </c>
      <c r="C892" s="1941"/>
      <c r="D892" s="1941"/>
      <c r="E892" s="1941"/>
      <c r="F892" s="1941"/>
      <c r="G892" s="1941"/>
      <c r="H892" s="1942"/>
      <c r="I892" s="1785" t="str">
        <f>VLOOKUP(A892,'PLANILHA SEM DESON'!$B$17:$D$1700,3,FALSE)</f>
        <v>m²</v>
      </c>
      <c r="J892" s="1786">
        <f>I900</f>
        <v>633.11</v>
      </c>
    </row>
    <row r="893" spans="1:10" ht="24">
      <c r="A893" s="1788" t="s">
        <v>2470</v>
      </c>
      <c r="B893" s="1789" t="s">
        <v>2471</v>
      </c>
      <c r="C893" s="1790" t="s">
        <v>2468</v>
      </c>
      <c r="D893" s="1791" t="s">
        <v>308</v>
      </c>
      <c r="E893" s="1790" t="s">
        <v>202</v>
      </c>
      <c r="F893" s="1792" t="s">
        <v>2472</v>
      </c>
      <c r="G893" s="1790" t="s">
        <v>2473</v>
      </c>
      <c r="H893" s="1793" t="s">
        <v>2474</v>
      </c>
      <c r="I893" s="1794" t="s">
        <v>2475</v>
      </c>
      <c r="J893" s="1795"/>
    </row>
    <row r="894" spans="1:10" ht="24">
      <c r="A894" s="1797" t="s">
        <v>2476</v>
      </c>
      <c r="B894" s="1798" t="s">
        <v>2479</v>
      </c>
      <c r="C894" s="1798">
        <v>142</v>
      </c>
      <c r="D894" s="1799" t="s">
        <v>2674</v>
      </c>
      <c r="E894" s="1800" t="s">
        <v>2675</v>
      </c>
      <c r="F894" s="1807">
        <v>0.88290000000000002</v>
      </c>
      <c r="G894" s="1801">
        <v>44.12</v>
      </c>
      <c r="H894" s="1802">
        <f t="shared" ref="H894:H899" si="122">IF(E894="H",G894,TRUNC(G894*(1-$K$7),2))</f>
        <v>43.89</v>
      </c>
      <c r="I894" s="1803">
        <f t="shared" ref="I894:I899" si="123">TRUNC(H894*F894,2)</f>
        <v>38.75</v>
      </c>
      <c r="J894" s="1795"/>
    </row>
    <row r="895" spans="1:10" ht="36">
      <c r="A895" s="1797" t="s">
        <v>2476</v>
      </c>
      <c r="B895" s="1798" t="s">
        <v>2479</v>
      </c>
      <c r="C895" s="1798">
        <v>7568</v>
      </c>
      <c r="D895" s="1799" t="s">
        <v>2370</v>
      </c>
      <c r="E895" s="1800" t="s">
        <v>2501</v>
      </c>
      <c r="F895" s="1807">
        <v>4.8166000000000002</v>
      </c>
      <c r="G895" s="1801">
        <v>0.61</v>
      </c>
      <c r="H895" s="1802">
        <f t="shared" si="122"/>
        <v>0.6</v>
      </c>
      <c r="I895" s="1803">
        <f t="shared" si="123"/>
        <v>2.88</v>
      </c>
      <c r="J895" s="1795"/>
    </row>
    <row r="896" spans="1:10" ht="48">
      <c r="A896" s="1797" t="s">
        <v>2476</v>
      </c>
      <c r="B896" s="1798" t="s">
        <v>2479</v>
      </c>
      <c r="C896" s="1798">
        <v>36888</v>
      </c>
      <c r="D896" s="1799" t="s">
        <v>2676</v>
      </c>
      <c r="E896" s="1800" t="s">
        <v>160</v>
      </c>
      <c r="F896" s="1807">
        <v>6.8503999999999996</v>
      </c>
      <c r="G896" s="1801">
        <v>28.94</v>
      </c>
      <c r="H896" s="1802">
        <f t="shared" si="122"/>
        <v>28.79</v>
      </c>
      <c r="I896" s="1803">
        <f t="shared" si="123"/>
        <v>197.22</v>
      </c>
      <c r="J896" s="1795"/>
    </row>
    <row r="897" spans="1:10" ht="36">
      <c r="A897" s="1797" t="s">
        <v>2476</v>
      </c>
      <c r="B897" s="1798" t="s">
        <v>2479</v>
      </c>
      <c r="C897" s="1798">
        <v>39025</v>
      </c>
      <c r="D897" s="1799" t="s">
        <v>2677</v>
      </c>
      <c r="E897" s="1800" t="s">
        <v>2501</v>
      </c>
      <c r="F897" s="1807">
        <v>0.54730000000000001</v>
      </c>
      <c r="G897" s="1801">
        <v>699.99</v>
      </c>
      <c r="H897" s="1802">
        <f t="shared" si="122"/>
        <v>696.42</v>
      </c>
      <c r="I897" s="1803">
        <f t="shared" si="123"/>
        <v>381.15</v>
      </c>
      <c r="J897" s="1795"/>
    </row>
    <row r="898" spans="1:10">
      <c r="A898" s="1797" t="s">
        <v>2476</v>
      </c>
      <c r="B898" s="1798" t="s">
        <v>7</v>
      </c>
      <c r="C898" s="1798">
        <v>88309</v>
      </c>
      <c r="D898" s="1799" t="s">
        <v>103</v>
      </c>
      <c r="E898" s="1800" t="s">
        <v>411</v>
      </c>
      <c r="F898" s="1807">
        <v>0.3826</v>
      </c>
      <c r="G898" s="1801">
        <v>24.59</v>
      </c>
      <c r="H898" s="1802">
        <f t="shared" si="122"/>
        <v>24.59</v>
      </c>
      <c r="I898" s="1803">
        <f t="shared" si="123"/>
        <v>9.4</v>
      </c>
      <c r="J898" s="1795"/>
    </row>
    <row r="899" spans="1:10">
      <c r="A899" s="1797" t="s">
        <v>2476</v>
      </c>
      <c r="B899" s="1798" t="s">
        <v>7</v>
      </c>
      <c r="C899" s="1798">
        <v>88316</v>
      </c>
      <c r="D899" s="1799" t="s">
        <v>66</v>
      </c>
      <c r="E899" s="1800" t="s">
        <v>411</v>
      </c>
      <c r="F899" s="1807">
        <v>0.191</v>
      </c>
      <c r="G899" s="1801">
        <v>19.45</v>
      </c>
      <c r="H899" s="1802">
        <f t="shared" si="122"/>
        <v>19.45</v>
      </c>
      <c r="I899" s="1803">
        <f t="shared" si="123"/>
        <v>3.71</v>
      </c>
      <c r="J899" s="1795"/>
    </row>
    <row r="900" spans="1:10">
      <c r="A900" s="1943" t="s">
        <v>2477</v>
      </c>
      <c r="B900" s="1944"/>
      <c r="C900" s="1944"/>
      <c r="D900" s="1944"/>
      <c r="E900" s="1944"/>
      <c r="F900" s="1944"/>
      <c r="G900" s="1944"/>
      <c r="H900" s="1945"/>
      <c r="I900" s="1805">
        <f>SUM(I894:I899)</f>
        <v>633.11</v>
      </c>
      <c r="J900" s="1795"/>
    </row>
    <row r="901" spans="1:10">
      <c r="A901" s="1929"/>
      <c r="B901" s="1930"/>
      <c r="C901" s="1930"/>
      <c r="D901" s="1930"/>
      <c r="E901" s="1930"/>
      <c r="F901" s="1930"/>
      <c r="G901" s="1930"/>
      <c r="H901" s="1930"/>
      <c r="I901" s="1931"/>
      <c r="J901" s="1795"/>
    </row>
    <row r="902" spans="1:10" ht="27" customHeight="1">
      <c r="A902" s="1784">
        <f>'PLANILHA SEM DESON'!B136</f>
        <v>94569</v>
      </c>
      <c r="B902" s="1940" t="str">
        <f>VLOOKUP(A902,'PLANILHA SEM DESON'!$B$17:$D$1700,2,FALSE)</f>
        <v>JANELA DE ALUMÍNIO MAXIM-AR, FIXAÇÃO COM PARAFUSO SOBRE CONTRAMARCO (EXCLUSIVE CONTRAMARCO), COM VIDROS, PADRONIZADA. AF_07/2016</v>
      </c>
      <c r="C902" s="1941"/>
      <c r="D902" s="1941"/>
      <c r="E902" s="1941"/>
      <c r="F902" s="1941"/>
      <c r="G902" s="1941"/>
      <c r="H902" s="1942"/>
      <c r="I902" s="1785" t="str">
        <f>VLOOKUP(A902,'PLANILHA SEM DESON'!$B$17:$D$1700,3,FALSE)</f>
        <v>m²</v>
      </c>
      <c r="J902" s="1786">
        <f>I909</f>
        <v>701.80000000000007</v>
      </c>
    </row>
    <row r="903" spans="1:10" ht="24">
      <c r="A903" s="1788" t="s">
        <v>2470</v>
      </c>
      <c r="B903" s="1789" t="s">
        <v>2471</v>
      </c>
      <c r="C903" s="1790" t="s">
        <v>2468</v>
      </c>
      <c r="D903" s="1791" t="s">
        <v>308</v>
      </c>
      <c r="E903" s="1790" t="s">
        <v>202</v>
      </c>
      <c r="F903" s="1792" t="s">
        <v>2472</v>
      </c>
      <c r="G903" s="1790" t="s">
        <v>2473</v>
      </c>
      <c r="H903" s="1793" t="s">
        <v>2474</v>
      </c>
      <c r="I903" s="1794" t="s">
        <v>2475</v>
      </c>
      <c r="J903" s="1795"/>
    </row>
    <row r="904" spans="1:10" ht="36">
      <c r="A904" s="1797" t="s">
        <v>2476</v>
      </c>
      <c r="B904" s="1798" t="s">
        <v>2479</v>
      </c>
      <c r="C904" s="1798">
        <v>4377</v>
      </c>
      <c r="D904" s="1799" t="s">
        <v>2678</v>
      </c>
      <c r="E904" s="1800" t="s">
        <v>2501</v>
      </c>
      <c r="F904" s="1807">
        <v>24.4</v>
      </c>
      <c r="G904" s="1801">
        <v>0.2</v>
      </c>
      <c r="H904" s="1802">
        <f>IF(E904="H",G904,TRUNC(G904*(1-$K$7),2))</f>
        <v>0.19</v>
      </c>
      <c r="I904" s="1803">
        <f t="shared" ref="I904:I908" si="124">TRUNC(H904*F904,2)</f>
        <v>4.63</v>
      </c>
      <c r="J904" s="1795"/>
    </row>
    <row r="905" spans="1:10" ht="36">
      <c r="A905" s="1797" t="s">
        <v>2476</v>
      </c>
      <c r="B905" s="1798" t="s">
        <v>2479</v>
      </c>
      <c r="C905" s="1798">
        <v>34381</v>
      </c>
      <c r="D905" s="1799" t="s">
        <v>2679</v>
      </c>
      <c r="E905" s="1800" t="s">
        <v>2501</v>
      </c>
      <c r="F905" s="1807">
        <v>2.0832999999999999</v>
      </c>
      <c r="G905" s="1801">
        <v>290.68</v>
      </c>
      <c r="H905" s="1802">
        <f>IF(E905="H",G905,TRUNC(G905*(1-$K$7),2))</f>
        <v>289.19</v>
      </c>
      <c r="I905" s="1803">
        <f t="shared" si="124"/>
        <v>602.46</v>
      </c>
      <c r="J905" s="1795"/>
    </row>
    <row r="906" spans="1:10">
      <c r="A906" s="1797" t="s">
        <v>2476</v>
      </c>
      <c r="B906" s="1798" t="s">
        <v>2479</v>
      </c>
      <c r="C906" s="1798">
        <v>39961</v>
      </c>
      <c r="D906" s="1799" t="s">
        <v>2680</v>
      </c>
      <c r="E906" s="1800" t="s">
        <v>2501</v>
      </c>
      <c r="F906" s="1807">
        <v>1.2466999999999999</v>
      </c>
      <c r="G906" s="1801">
        <v>29.15</v>
      </c>
      <c r="H906" s="1802">
        <f>IF(E906="H",G906,TRUNC(G906*(1-$K$7),2))</f>
        <v>29</v>
      </c>
      <c r="I906" s="1803">
        <f t="shared" si="124"/>
        <v>36.15</v>
      </c>
      <c r="J906" s="1795"/>
    </row>
    <row r="907" spans="1:10">
      <c r="A907" s="1797" t="s">
        <v>2476</v>
      </c>
      <c r="B907" s="1798" t="s">
        <v>7</v>
      </c>
      <c r="C907" s="1798">
        <v>88309</v>
      </c>
      <c r="D907" s="1799" t="s">
        <v>103</v>
      </c>
      <c r="E907" s="1800" t="s">
        <v>411</v>
      </c>
      <c r="F907" s="1807">
        <v>1.7070000000000001</v>
      </c>
      <c r="G907" s="1801">
        <v>24.59</v>
      </c>
      <c r="H907" s="1802">
        <f>IF(E907="H",G907,TRUNC(G907*(1-$K$7),2))</f>
        <v>24.59</v>
      </c>
      <c r="I907" s="1803">
        <f t="shared" si="124"/>
        <v>41.97</v>
      </c>
      <c r="J907" s="1795"/>
    </row>
    <row r="908" spans="1:10">
      <c r="A908" s="1797" t="s">
        <v>2476</v>
      </c>
      <c r="B908" s="1798" t="s">
        <v>7</v>
      </c>
      <c r="C908" s="1798">
        <v>88316</v>
      </c>
      <c r="D908" s="1799" t="s">
        <v>66</v>
      </c>
      <c r="E908" s="1800" t="s">
        <v>411</v>
      </c>
      <c r="F908" s="1807">
        <v>0.85299999999999998</v>
      </c>
      <c r="G908" s="1801">
        <v>19.45</v>
      </c>
      <c r="H908" s="1802">
        <f>IF(E908="H",G908,TRUNC(G908*(1-$K$7),2))</f>
        <v>19.45</v>
      </c>
      <c r="I908" s="1803">
        <f t="shared" si="124"/>
        <v>16.59</v>
      </c>
      <c r="J908" s="1795"/>
    </row>
    <row r="909" spans="1:10">
      <c r="A909" s="1943" t="s">
        <v>2477</v>
      </c>
      <c r="B909" s="1944"/>
      <c r="C909" s="1944"/>
      <c r="D909" s="1944"/>
      <c r="E909" s="1944"/>
      <c r="F909" s="1944"/>
      <c r="G909" s="1944"/>
      <c r="H909" s="1945"/>
      <c r="I909" s="1805">
        <f>SUM(I904:I908)</f>
        <v>701.80000000000007</v>
      </c>
      <c r="J909" s="1795"/>
    </row>
    <row r="910" spans="1:10">
      <c r="A910" s="1929"/>
      <c r="B910" s="1930"/>
      <c r="C910" s="1930"/>
      <c r="D910" s="1930"/>
      <c r="E910" s="1930"/>
      <c r="F910" s="1930"/>
      <c r="G910" s="1930"/>
      <c r="H910" s="1930"/>
      <c r="I910" s="1931"/>
      <c r="J910" s="1795"/>
    </row>
    <row r="911" spans="1:10" ht="24.75" customHeight="1">
      <c r="A911" s="1784">
        <f>'PLANILHA SEM DESON'!B137</f>
        <v>94570</v>
      </c>
      <c r="B911" s="1940" t="str">
        <f>VLOOKUP(A911,'PLANILHA SEM DESON'!$B$17:$D$1700,2,FALSE)</f>
        <v>JANELA DE ALUMÍNIO DE CORRER COM 2 FOLHAS PARA VIDROS, COM VIDROS, BATENTE, ACABAMENTO COM ACETATO OU BRILHANTE E FERRAGENS. EXCLUSIVE ALIZAR E CONTRAMARCO. FORNECIMENTO E INSTALAÇÃO. AF_12/2019</v>
      </c>
      <c r="C911" s="1941"/>
      <c r="D911" s="1941"/>
      <c r="E911" s="1941"/>
      <c r="F911" s="1941"/>
      <c r="G911" s="1941"/>
      <c r="H911" s="1942"/>
      <c r="I911" s="1785" t="str">
        <f>VLOOKUP(A911,'PLANILHA SEM DESON'!$B$17:$D$1700,3,FALSE)</f>
        <v>m²</v>
      </c>
      <c r="J911" s="1786">
        <f>I918</f>
        <v>364.84</v>
      </c>
    </row>
    <row r="912" spans="1:10" ht="24">
      <c r="A912" s="1788" t="s">
        <v>2470</v>
      </c>
      <c r="B912" s="1789" t="s">
        <v>2471</v>
      </c>
      <c r="C912" s="1790" t="s">
        <v>2468</v>
      </c>
      <c r="D912" s="1791" t="s">
        <v>308</v>
      </c>
      <c r="E912" s="1790" t="s">
        <v>202</v>
      </c>
      <c r="F912" s="1792" t="s">
        <v>2472</v>
      </c>
      <c r="G912" s="1790" t="s">
        <v>2473</v>
      </c>
      <c r="H912" s="1793" t="s">
        <v>2474</v>
      </c>
      <c r="I912" s="1794" t="s">
        <v>2475</v>
      </c>
      <c r="J912" s="1795"/>
    </row>
    <row r="913" spans="1:10" ht="36">
      <c r="A913" s="1797" t="s">
        <v>2476</v>
      </c>
      <c r="B913" s="1798" t="s">
        <v>2479</v>
      </c>
      <c r="C913" s="1798">
        <v>4377</v>
      </c>
      <c r="D913" s="1799" t="s">
        <v>2678</v>
      </c>
      <c r="E913" s="1800" t="s">
        <v>2501</v>
      </c>
      <c r="F913" s="1807">
        <v>9.1999999999999993</v>
      </c>
      <c r="G913" s="1801">
        <v>0.2</v>
      </c>
      <c r="H913" s="1802">
        <f>IF(E913="H",G913,TRUNC(G913*(1-$K$7),2))</f>
        <v>0.19</v>
      </c>
      <c r="I913" s="1803">
        <f t="shared" ref="I913:I917" si="125">TRUNC(H913*F913,2)</f>
        <v>1.74</v>
      </c>
      <c r="J913" s="1795"/>
    </row>
    <row r="914" spans="1:10" ht="48">
      <c r="A914" s="1797" t="s">
        <v>2476</v>
      </c>
      <c r="B914" s="1798" t="s">
        <v>2479</v>
      </c>
      <c r="C914" s="1798">
        <v>36896</v>
      </c>
      <c r="D914" s="1799" t="s">
        <v>2681</v>
      </c>
      <c r="E914" s="1800" t="s">
        <v>2501</v>
      </c>
      <c r="F914" s="1807">
        <v>0.83330000000000004</v>
      </c>
      <c r="G914" s="1801">
        <v>394.73</v>
      </c>
      <c r="H914" s="1802">
        <f>IF(E914="H",G914,TRUNC(G914*(1-$K$7),2))</f>
        <v>392.71</v>
      </c>
      <c r="I914" s="1803">
        <f t="shared" si="125"/>
        <v>327.24</v>
      </c>
      <c r="J914" s="1795"/>
    </row>
    <row r="915" spans="1:10">
      <c r="A915" s="1797" t="s">
        <v>2476</v>
      </c>
      <c r="B915" s="1798" t="s">
        <v>2479</v>
      </c>
      <c r="C915" s="1798">
        <v>39961</v>
      </c>
      <c r="D915" s="1799" t="s">
        <v>2680</v>
      </c>
      <c r="E915" s="1800" t="s">
        <v>2501</v>
      </c>
      <c r="F915" s="1807">
        <v>0.62329999999999997</v>
      </c>
      <c r="G915" s="1801">
        <v>29.15</v>
      </c>
      <c r="H915" s="1802">
        <f>IF(E915="H",G915,TRUNC(G915*(1-$K$7),2))</f>
        <v>29</v>
      </c>
      <c r="I915" s="1803">
        <f t="shared" si="125"/>
        <v>18.07</v>
      </c>
      <c r="J915" s="1795"/>
    </row>
    <row r="916" spans="1:10">
      <c r="A916" s="1797" t="s">
        <v>2476</v>
      </c>
      <c r="B916" s="1798" t="s">
        <v>7</v>
      </c>
      <c r="C916" s="1798">
        <v>88309</v>
      </c>
      <c r="D916" s="1799" t="s">
        <v>103</v>
      </c>
      <c r="E916" s="1800" t="s">
        <v>411</v>
      </c>
      <c r="F916" s="1807">
        <v>0.51900000000000002</v>
      </c>
      <c r="G916" s="1801">
        <v>24.59</v>
      </c>
      <c r="H916" s="1802">
        <f>IF(E916="H",G916,TRUNC(G916*(1-$K$7),2))</f>
        <v>24.59</v>
      </c>
      <c r="I916" s="1803">
        <f t="shared" si="125"/>
        <v>12.76</v>
      </c>
      <c r="J916" s="1795"/>
    </row>
    <row r="917" spans="1:10">
      <c r="A917" s="1797" t="s">
        <v>2476</v>
      </c>
      <c r="B917" s="1798" t="s">
        <v>7</v>
      </c>
      <c r="C917" s="1798">
        <v>88316</v>
      </c>
      <c r="D917" s="1799" t="s">
        <v>66</v>
      </c>
      <c r="E917" s="1800" t="s">
        <v>411</v>
      </c>
      <c r="F917" s="1807">
        <v>0.25900000000000001</v>
      </c>
      <c r="G917" s="1801">
        <v>19.45</v>
      </c>
      <c r="H917" s="1802">
        <f>IF(E917="H",G917,TRUNC(G917*(1-$K$7),2))</f>
        <v>19.45</v>
      </c>
      <c r="I917" s="1803">
        <f t="shared" si="125"/>
        <v>5.03</v>
      </c>
      <c r="J917" s="1795"/>
    </row>
    <row r="918" spans="1:10">
      <c r="A918" s="1943" t="s">
        <v>2477</v>
      </c>
      <c r="B918" s="1944"/>
      <c r="C918" s="1944"/>
      <c r="D918" s="1944"/>
      <c r="E918" s="1944"/>
      <c r="F918" s="1944"/>
      <c r="G918" s="1944"/>
      <c r="H918" s="1945"/>
      <c r="I918" s="1805">
        <f>SUM(I913:I917)</f>
        <v>364.84</v>
      </c>
      <c r="J918" s="1795"/>
    </row>
    <row r="919" spans="1:10">
      <c r="A919" s="1929"/>
      <c r="B919" s="1930"/>
      <c r="C919" s="1930"/>
      <c r="D919" s="1930"/>
      <c r="E919" s="1930"/>
      <c r="F919" s="1930"/>
      <c r="G919" s="1930"/>
      <c r="H919" s="1930"/>
      <c r="I919" s="1931"/>
      <c r="J919" s="1795"/>
    </row>
    <row r="920" spans="1:10">
      <c r="A920" s="1784" t="str">
        <f>'PLANILHA SEM DESON'!B139</f>
        <v>COMP 09</v>
      </c>
      <c r="B920" s="1940" t="str">
        <f>VLOOKUP(A920,'PLANILHA SEM DESON'!$B$17:$D$1700,2,FALSE)</f>
        <v>FORNECIMENTO E INSTALAÇÃO DE PORTÃO DE CORRER DE  1,50X2,45 M, COM ACIONAMENTO ELÉTRICO</v>
      </c>
      <c r="C920" s="1941"/>
      <c r="D920" s="1941"/>
      <c r="E920" s="1941"/>
      <c r="F920" s="1941"/>
      <c r="G920" s="1941"/>
      <c r="H920" s="1942"/>
      <c r="I920" s="1785" t="str">
        <f>VLOOKUP(A920,'PLANILHA SEM DESON'!$B$17:$D$1700,3,FALSE)</f>
        <v xml:space="preserve">un </v>
      </c>
      <c r="J920" s="1786">
        <f>I923</f>
        <v>3575.67</v>
      </c>
    </row>
    <row r="921" spans="1:10" ht="24">
      <c r="A921" s="1788" t="s">
        <v>2470</v>
      </c>
      <c r="B921" s="1789" t="s">
        <v>2471</v>
      </c>
      <c r="C921" s="1790" t="s">
        <v>2468</v>
      </c>
      <c r="D921" s="1791" t="s">
        <v>308</v>
      </c>
      <c r="E921" s="1790" t="s">
        <v>202</v>
      </c>
      <c r="F921" s="1792" t="s">
        <v>2472</v>
      </c>
      <c r="G921" s="1790" t="s">
        <v>2473</v>
      </c>
      <c r="H921" s="1793" t="s">
        <v>2474</v>
      </c>
      <c r="I921" s="1794" t="s">
        <v>2475</v>
      </c>
      <c r="J921" s="1795"/>
    </row>
    <row r="922" spans="1:10" ht="24">
      <c r="A922" s="1797"/>
      <c r="B922" s="1798"/>
      <c r="C922" s="1798" t="s">
        <v>65</v>
      </c>
      <c r="D922" s="1799" t="s">
        <v>2111</v>
      </c>
      <c r="E922" s="1800" t="s">
        <v>55</v>
      </c>
      <c r="F922" s="1811">
        <v>1</v>
      </c>
      <c r="G922" s="1806">
        <v>3594</v>
      </c>
      <c r="H922" s="1802">
        <f>IF(E922="H",G922,TRUNC(G922*(1-$K$7),2))</f>
        <v>3575.67</v>
      </c>
      <c r="I922" s="1803">
        <f t="shared" ref="I922" si="126">TRUNC(H922*F922,2)</f>
        <v>3575.67</v>
      </c>
      <c r="J922" s="1795"/>
    </row>
    <row r="923" spans="1:10">
      <c r="A923" s="1943" t="s">
        <v>2477</v>
      </c>
      <c r="B923" s="1944"/>
      <c r="C923" s="1944"/>
      <c r="D923" s="1944"/>
      <c r="E923" s="1944"/>
      <c r="F923" s="1944"/>
      <c r="G923" s="1944"/>
      <c r="H923" s="1945"/>
      <c r="I923" s="1805">
        <f>SUM(I922:I922)</f>
        <v>3575.67</v>
      </c>
      <c r="J923" s="1795"/>
    </row>
    <row r="924" spans="1:10">
      <c r="A924" s="1929"/>
      <c r="B924" s="1930"/>
      <c r="C924" s="1930"/>
      <c r="D924" s="1930"/>
      <c r="E924" s="1930"/>
      <c r="F924" s="1930"/>
      <c r="G924" s="1930"/>
      <c r="H924" s="1930"/>
      <c r="I924" s="1931"/>
      <c r="J924" s="1795"/>
    </row>
    <row r="925" spans="1:10" ht="39.75" customHeight="1">
      <c r="A925" s="1784" t="str">
        <f>'PLANILHA SEM DESON'!B140</f>
        <v>COMP 10</v>
      </c>
      <c r="B925" s="1940" t="str">
        <f>VLOOKUP(A925,'PLANILHA SEM DESON'!$B$17:$D$1700,2,FALSE)</f>
        <v>FORNECIMENTO E INSTALAÇÃO DE PORTÃO DE CORRER, 2 FOLHAS, DE  3,90X2,45 M, COM ACIONAMENTO ELÉTRICO</v>
      </c>
      <c r="C925" s="1941"/>
      <c r="D925" s="1941"/>
      <c r="E925" s="1941"/>
      <c r="F925" s="1941"/>
      <c r="G925" s="1941"/>
      <c r="H925" s="1942"/>
      <c r="I925" s="1785" t="str">
        <f>VLOOKUP(A925,'PLANILHA SEM DESON'!$B$17:$D$1700,3,FALSE)</f>
        <v xml:space="preserve">un </v>
      </c>
      <c r="J925" s="1786">
        <f>I929</f>
        <v>8769.0400000000009</v>
      </c>
    </row>
    <row r="926" spans="1:10" ht="24">
      <c r="A926" s="1788" t="s">
        <v>2470</v>
      </c>
      <c r="B926" s="1789" t="s">
        <v>2471</v>
      </c>
      <c r="C926" s="1790" t="s">
        <v>2468</v>
      </c>
      <c r="D926" s="1791" t="s">
        <v>308</v>
      </c>
      <c r="E926" s="1790" t="s">
        <v>202</v>
      </c>
      <c r="F926" s="1792" t="s">
        <v>2472</v>
      </c>
      <c r="G926" s="1790" t="s">
        <v>2473</v>
      </c>
      <c r="H926" s="1793" t="s">
        <v>2474</v>
      </c>
      <c r="I926" s="1794" t="s">
        <v>2475</v>
      </c>
      <c r="J926" s="1795"/>
    </row>
    <row r="927" spans="1:10" ht="24">
      <c r="A927" s="1797"/>
      <c r="B927" s="1798"/>
      <c r="C927" s="1798" t="s">
        <v>65</v>
      </c>
      <c r="D927" s="1799" t="s">
        <v>2109</v>
      </c>
      <c r="E927" s="1800" t="s">
        <v>55</v>
      </c>
      <c r="F927" s="1811">
        <v>1</v>
      </c>
      <c r="G927" s="1808">
        <v>7800</v>
      </c>
      <c r="H927" s="1802">
        <f>IF(E927="H",G927,TRUNC(G927*(1-$K$7),2))</f>
        <v>7760.22</v>
      </c>
      <c r="I927" s="1803">
        <f t="shared" ref="I927:I928" si="127">TRUNC(H927*F927,2)</f>
        <v>7760.22</v>
      </c>
      <c r="J927" s="1795"/>
    </row>
    <row r="928" spans="1:10" ht="36">
      <c r="A928" s="1797"/>
      <c r="B928" s="1798"/>
      <c r="C928" s="1798" t="s">
        <v>106</v>
      </c>
      <c r="D928" s="1799" t="s">
        <v>1461</v>
      </c>
      <c r="E928" s="1800" t="s">
        <v>55</v>
      </c>
      <c r="F928" s="1811">
        <v>1</v>
      </c>
      <c r="G928" s="1806">
        <v>1014</v>
      </c>
      <c r="H928" s="1802">
        <f>IF(E928="H",G928,TRUNC(G928*(1-$K$7),2))</f>
        <v>1008.82</v>
      </c>
      <c r="I928" s="1803">
        <f t="shared" si="127"/>
        <v>1008.82</v>
      </c>
      <c r="J928" s="1795"/>
    </row>
    <row r="929" spans="1:10">
      <c r="A929" s="1943" t="s">
        <v>2477</v>
      </c>
      <c r="B929" s="1944"/>
      <c r="C929" s="1944"/>
      <c r="D929" s="1944"/>
      <c r="E929" s="1944"/>
      <c r="F929" s="1944"/>
      <c r="G929" s="1944"/>
      <c r="H929" s="1945"/>
      <c r="I929" s="1805">
        <f>SUM(I927:I928)</f>
        <v>8769.0400000000009</v>
      </c>
      <c r="J929" s="1795"/>
    </row>
    <row r="930" spans="1:10">
      <c r="A930" s="1929"/>
      <c r="B930" s="1930"/>
      <c r="C930" s="1930"/>
      <c r="D930" s="1930"/>
      <c r="E930" s="1930"/>
      <c r="F930" s="1930"/>
      <c r="G930" s="1930"/>
      <c r="H930" s="1930"/>
      <c r="I930" s="1931"/>
      <c r="J930" s="1795"/>
    </row>
    <row r="931" spans="1:10">
      <c r="A931" s="1784" t="str">
        <f>'PLANILHA SEM DESON'!B141</f>
        <v>COMP 12</v>
      </c>
      <c r="B931" s="1940" t="str">
        <f>VLOOKUP(A931,'PLANILHA SEM DESON'!$B$17:$D$1700,2,FALSE)</f>
        <v>PORTA DE ABRIR DE FERRO EM CHAPA CORRUGADA, 2 FOLHAS, DE 1,60X2,10 M</v>
      </c>
      <c r="C931" s="1941"/>
      <c r="D931" s="1941"/>
      <c r="E931" s="1941"/>
      <c r="F931" s="1941"/>
      <c r="G931" s="1941"/>
      <c r="H931" s="1942"/>
      <c r="I931" s="1785" t="str">
        <f>VLOOKUP(A931,'PLANILHA SEM DESON'!$B$17:$D$1700,3,FALSE)</f>
        <v xml:space="preserve">un </v>
      </c>
      <c r="J931" s="1786">
        <f>I934</f>
        <v>3820.41</v>
      </c>
    </row>
    <row r="932" spans="1:10" ht="24">
      <c r="A932" s="1788" t="s">
        <v>2470</v>
      </c>
      <c r="B932" s="1789" t="s">
        <v>2471</v>
      </c>
      <c r="C932" s="1790" t="s">
        <v>2468</v>
      </c>
      <c r="D932" s="1791" t="s">
        <v>308</v>
      </c>
      <c r="E932" s="1790" t="s">
        <v>202</v>
      </c>
      <c r="F932" s="1792" t="s">
        <v>2472</v>
      </c>
      <c r="G932" s="1790" t="s">
        <v>2473</v>
      </c>
      <c r="H932" s="1793" t="s">
        <v>2474</v>
      </c>
      <c r="I932" s="1794" t="s">
        <v>2475</v>
      </c>
      <c r="J932" s="1795"/>
    </row>
    <row r="933" spans="1:10" ht="24">
      <c r="A933" s="1797"/>
      <c r="B933" s="1798"/>
      <c r="C933" s="1798" t="s">
        <v>65</v>
      </c>
      <c r="D933" s="1799" t="s">
        <v>1465</v>
      </c>
      <c r="E933" s="1800" t="s">
        <v>55</v>
      </c>
      <c r="F933" s="1811">
        <v>1</v>
      </c>
      <c r="G933" s="1806">
        <v>3840</v>
      </c>
      <c r="H933" s="1802">
        <f>IF(E933="H",G933,TRUNC(G933*(1-$K$7),2))</f>
        <v>3820.41</v>
      </c>
      <c r="I933" s="1803">
        <f t="shared" ref="I933" si="128">TRUNC(H933*F933,2)</f>
        <v>3820.41</v>
      </c>
      <c r="J933" s="1795"/>
    </row>
    <row r="934" spans="1:10">
      <c r="A934" s="1943" t="s">
        <v>2477</v>
      </c>
      <c r="B934" s="1944"/>
      <c r="C934" s="1944"/>
      <c r="D934" s="1944"/>
      <c r="E934" s="1944"/>
      <c r="F934" s="1944"/>
      <c r="G934" s="1944"/>
      <c r="H934" s="1945"/>
      <c r="I934" s="1805">
        <f>SUM(I933:I933)</f>
        <v>3820.41</v>
      </c>
      <c r="J934" s="1795"/>
    </row>
    <row r="935" spans="1:10">
      <c r="A935" s="1929"/>
      <c r="B935" s="1930"/>
      <c r="C935" s="1930"/>
      <c r="D935" s="1930"/>
      <c r="E935" s="1930"/>
      <c r="F935" s="1930"/>
      <c r="G935" s="1930"/>
      <c r="H935" s="1930"/>
      <c r="I935" s="1931"/>
      <c r="J935" s="1795"/>
    </row>
    <row r="936" spans="1:10">
      <c r="A936" s="1784">
        <f>'PLANILHA SEM DESON'!B145</f>
        <v>96135</v>
      </c>
      <c r="B936" s="1940" t="str">
        <f>VLOOKUP(A936,'PLANILHA SEM DESON'!$B$17:$D$1700,2,FALSE)</f>
        <v>APLICAÇÃO MANUAL DE MASSA ACRÍLICA PARA PAREDES INTERNAS, DUAS DEMÃOS.</v>
      </c>
      <c r="C936" s="1941"/>
      <c r="D936" s="1941"/>
      <c r="E936" s="1941"/>
      <c r="F936" s="1941"/>
      <c r="G936" s="1941"/>
      <c r="H936" s="1942"/>
      <c r="I936" s="1785" t="str">
        <f>VLOOKUP(A936,'PLANILHA SEM DESON'!$B$17:$D$1700,3,FALSE)</f>
        <v>m²</v>
      </c>
      <c r="J936" s="1786">
        <f>I942</f>
        <v>28.64</v>
      </c>
    </row>
    <row r="937" spans="1:10" ht="24">
      <c r="A937" s="1788" t="s">
        <v>2470</v>
      </c>
      <c r="B937" s="1789" t="s">
        <v>2471</v>
      </c>
      <c r="C937" s="1790" t="s">
        <v>2468</v>
      </c>
      <c r="D937" s="1791" t="s">
        <v>308</v>
      </c>
      <c r="E937" s="1790" t="s">
        <v>202</v>
      </c>
      <c r="F937" s="1792" t="s">
        <v>2472</v>
      </c>
      <c r="G937" s="1790" t="s">
        <v>2473</v>
      </c>
      <c r="H937" s="1793" t="s">
        <v>2474</v>
      </c>
      <c r="I937" s="1794" t="s">
        <v>2475</v>
      </c>
      <c r="J937" s="1795"/>
    </row>
    <row r="938" spans="1:10" ht="24">
      <c r="A938" s="1797" t="s">
        <v>2476</v>
      </c>
      <c r="B938" s="1798" t="s">
        <v>2479</v>
      </c>
      <c r="C938" s="1798">
        <v>3767</v>
      </c>
      <c r="D938" s="1799" t="s">
        <v>2682</v>
      </c>
      <c r="E938" s="1800" t="s">
        <v>2501</v>
      </c>
      <c r="F938" s="1807">
        <v>0.1</v>
      </c>
      <c r="G938" s="1801">
        <v>1.35</v>
      </c>
      <c r="H938" s="1802">
        <f>IF(E938="H",G938,TRUNC(G938*(1-$K$7),2))</f>
        <v>1.34</v>
      </c>
      <c r="I938" s="1803">
        <f t="shared" ref="I938:I941" si="129">TRUNC(H938*F938,2)</f>
        <v>0.13</v>
      </c>
      <c r="J938" s="1795"/>
    </row>
    <row r="939" spans="1:10" ht="24">
      <c r="A939" s="1797" t="s">
        <v>2476</v>
      </c>
      <c r="B939" s="1798" t="s">
        <v>2479</v>
      </c>
      <c r="C939" s="1798">
        <v>43651</v>
      </c>
      <c r="D939" s="1799" t="s">
        <v>2683</v>
      </c>
      <c r="E939" s="1800" t="s">
        <v>1383</v>
      </c>
      <c r="F939" s="1807">
        <v>1.5518400000000001</v>
      </c>
      <c r="G939" s="1801">
        <v>7.19</v>
      </c>
      <c r="H939" s="1802">
        <f>IF(E939="H",G939,TRUNC(G939*(1-$K$7),2))</f>
        <v>7.15</v>
      </c>
      <c r="I939" s="1803">
        <f t="shared" si="129"/>
        <v>11.09</v>
      </c>
      <c r="J939" s="1795"/>
    </row>
    <row r="940" spans="1:10">
      <c r="A940" s="1797" t="s">
        <v>2476</v>
      </c>
      <c r="B940" s="1798" t="s">
        <v>7</v>
      </c>
      <c r="C940" s="1798">
        <v>88310</v>
      </c>
      <c r="D940" s="1799" t="s">
        <v>127</v>
      </c>
      <c r="E940" s="1800" t="s">
        <v>411</v>
      </c>
      <c r="F940" s="1807">
        <v>0.57099999999999995</v>
      </c>
      <c r="G940" s="1801">
        <v>25.64</v>
      </c>
      <c r="H940" s="1802">
        <f>IF(E940="H",G940,TRUNC(G940*(1-$K$7),2))</f>
        <v>25.64</v>
      </c>
      <c r="I940" s="1803">
        <f t="shared" si="129"/>
        <v>14.64</v>
      </c>
      <c r="J940" s="1795"/>
    </row>
    <row r="941" spans="1:10">
      <c r="A941" s="1797" t="s">
        <v>2476</v>
      </c>
      <c r="B941" s="1798" t="s">
        <v>7</v>
      </c>
      <c r="C941" s="1798">
        <v>88316</v>
      </c>
      <c r="D941" s="1799" t="s">
        <v>66</v>
      </c>
      <c r="E941" s="1800" t="s">
        <v>411</v>
      </c>
      <c r="F941" s="1807">
        <v>0.14299999999999999</v>
      </c>
      <c r="G941" s="1801">
        <v>19.45</v>
      </c>
      <c r="H941" s="1802">
        <f>IF(E941="H",G941,TRUNC(G941*(1-$K$7),2))</f>
        <v>19.45</v>
      </c>
      <c r="I941" s="1803">
        <f t="shared" si="129"/>
        <v>2.78</v>
      </c>
      <c r="J941" s="1795"/>
    </row>
    <row r="942" spans="1:10">
      <c r="A942" s="1943" t="s">
        <v>2477</v>
      </c>
      <c r="B942" s="1944"/>
      <c r="C942" s="1944"/>
      <c r="D942" s="1944"/>
      <c r="E942" s="1944"/>
      <c r="F942" s="1944"/>
      <c r="G942" s="1944"/>
      <c r="H942" s="1945"/>
      <c r="I942" s="1805">
        <f>SUM(I938:I941)</f>
        <v>28.64</v>
      </c>
      <c r="J942" s="1795"/>
    </row>
    <row r="943" spans="1:10">
      <c r="A943" s="1929"/>
      <c r="B943" s="1930"/>
      <c r="C943" s="1930"/>
      <c r="D943" s="1930"/>
      <c r="E943" s="1930"/>
      <c r="F943" s="1930"/>
      <c r="G943" s="1930"/>
      <c r="H943" s="1930"/>
      <c r="I943" s="1931"/>
      <c r="J943" s="1795"/>
    </row>
    <row r="944" spans="1:10">
      <c r="A944" s="1784">
        <f>'PLANILHA SEM DESON'!B146</f>
        <v>88485</v>
      </c>
      <c r="B944" s="1940" t="str">
        <f>VLOOKUP(A944,'PLANILHA SEM DESON'!$B$17:$D$1700,2,FALSE)</f>
        <v>APLICAÇÃO DE FUNDO SELADOR ACRÍLICO EM PAREDES, UMA DEMÃO. AF_06/2014</v>
      </c>
      <c r="C944" s="1941"/>
      <c r="D944" s="1941"/>
      <c r="E944" s="1941"/>
      <c r="F944" s="1941"/>
      <c r="G944" s="1941"/>
      <c r="H944" s="1942"/>
      <c r="I944" s="1785" t="str">
        <f>VLOOKUP(A944,'PLANILHA SEM DESON'!$B$17:$D$1700,3,FALSE)</f>
        <v>m²</v>
      </c>
      <c r="J944" s="1786">
        <f>I949</f>
        <v>2.23</v>
      </c>
    </row>
    <row r="945" spans="1:10" ht="24">
      <c r="A945" s="1788" t="s">
        <v>2470</v>
      </c>
      <c r="B945" s="1789" t="s">
        <v>2471</v>
      </c>
      <c r="C945" s="1790" t="s">
        <v>2468</v>
      </c>
      <c r="D945" s="1791" t="s">
        <v>308</v>
      </c>
      <c r="E945" s="1790" t="s">
        <v>202</v>
      </c>
      <c r="F945" s="1792" t="s">
        <v>2472</v>
      </c>
      <c r="G945" s="1790" t="s">
        <v>2473</v>
      </c>
      <c r="H945" s="1793" t="s">
        <v>2474</v>
      </c>
      <c r="I945" s="1794" t="s">
        <v>2475</v>
      </c>
      <c r="J945" s="1795"/>
    </row>
    <row r="946" spans="1:10" ht="24">
      <c r="A946" s="1797" t="s">
        <v>2476</v>
      </c>
      <c r="B946" s="1798" t="s">
        <v>2479</v>
      </c>
      <c r="C946" s="1798">
        <v>6085</v>
      </c>
      <c r="D946" s="1799" t="s">
        <v>2684</v>
      </c>
      <c r="E946" s="1800" t="s">
        <v>455</v>
      </c>
      <c r="F946" s="1807">
        <v>0.16</v>
      </c>
      <c r="G946" s="1801">
        <v>6.11</v>
      </c>
      <c r="H946" s="1802">
        <f>IF(E946="H",G946,TRUNC(G946*(1-$K$7),2))</f>
        <v>6.07</v>
      </c>
      <c r="I946" s="1803">
        <f t="shared" ref="I946:I948" si="130">TRUNC(H946*F946,2)</f>
        <v>0.97</v>
      </c>
      <c r="J946" s="1795"/>
    </row>
    <row r="947" spans="1:10">
      <c r="A947" s="1797" t="s">
        <v>2476</v>
      </c>
      <c r="B947" s="1798" t="s">
        <v>7</v>
      </c>
      <c r="C947" s="1798">
        <v>88310</v>
      </c>
      <c r="D947" s="1799" t="s">
        <v>127</v>
      </c>
      <c r="E947" s="1800" t="s">
        <v>411</v>
      </c>
      <c r="F947" s="1807">
        <v>3.9E-2</v>
      </c>
      <c r="G947" s="1801">
        <v>25.64</v>
      </c>
      <c r="H947" s="1802">
        <f>IF(E947="H",G947,TRUNC(G947*(1-$K$7),2))</f>
        <v>25.64</v>
      </c>
      <c r="I947" s="1803">
        <f t="shared" si="130"/>
        <v>0.99</v>
      </c>
      <c r="J947" s="1795"/>
    </row>
    <row r="948" spans="1:10">
      <c r="A948" s="1797" t="s">
        <v>2476</v>
      </c>
      <c r="B948" s="1798" t="s">
        <v>7</v>
      </c>
      <c r="C948" s="1798">
        <v>88316</v>
      </c>
      <c r="D948" s="1799" t="s">
        <v>66</v>
      </c>
      <c r="E948" s="1800" t="s">
        <v>411</v>
      </c>
      <c r="F948" s="1807">
        <v>1.4E-2</v>
      </c>
      <c r="G948" s="1801">
        <v>19.45</v>
      </c>
      <c r="H948" s="1802">
        <f>IF(E948="H",G948,TRUNC(G948*(1-$K$7),2))</f>
        <v>19.45</v>
      </c>
      <c r="I948" s="1803">
        <f t="shared" si="130"/>
        <v>0.27</v>
      </c>
      <c r="J948" s="1795"/>
    </row>
    <row r="949" spans="1:10">
      <c r="A949" s="1943" t="s">
        <v>2477</v>
      </c>
      <c r="B949" s="1944"/>
      <c r="C949" s="1944"/>
      <c r="D949" s="1944"/>
      <c r="E949" s="1944"/>
      <c r="F949" s="1944"/>
      <c r="G949" s="1944"/>
      <c r="H949" s="1945"/>
      <c r="I949" s="1805">
        <f>SUM(I946:I948)</f>
        <v>2.23</v>
      </c>
      <c r="J949" s="1795"/>
    </row>
    <row r="950" spans="1:10">
      <c r="A950" s="1929"/>
      <c r="B950" s="1930"/>
      <c r="C950" s="1930"/>
      <c r="D950" s="1930"/>
      <c r="E950" s="1930"/>
      <c r="F950" s="1930"/>
      <c r="G950" s="1930"/>
      <c r="H950" s="1930"/>
      <c r="I950" s="1931"/>
      <c r="J950" s="1795"/>
    </row>
    <row r="951" spans="1:10">
      <c r="A951" s="1784">
        <f>'PLANILHA SEM DESON'!B147</f>
        <v>88489</v>
      </c>
      <c r="B951" s="1940" t="str">
        <f>VLOOKUP(A951,'PLANILHA SEM DESON'!$B$17:$D$1700,2,FALSE)</f>
        <v>APLICAÇÃO MANUAL DE PINTURA COM TINTA LÁTEX ACRÍLICA EM PAREDES, DUAS DEMÃOS. AF_06/2014</v>
      </c>
      <c r="C951" s="1941"/>
      <c r="D951" s="1941"/>
      <c r="E951" s="1941"/>
      <c r="F951" s="1941"/>
      <c r="G951" s="1941"/>
      <c r="H951" s="1942"/>
      <c r="I951" s="1785" t="str">
        <f>VLOOKUP(A951,'PLANILHA SEM DESON'!$B$17:$D$1700,3,FALSE)</f>
        <v>m²</v>
      </c>
      <c r="J951" s="1786">
        <f>I956</f>
        <v>14.95</v>
      </c>
    </row>
    <row r="952" spans="1:10" ht="24">
      <c r="A952" s="1788" t="s">
        <v>2470</v>
      </c>
      <c r="B952" s="1789" t="s">
        <v>2471</v>
      </c>
      <c r="C952" s="1790" t="s">
        <v>2468</v>
      </c>
      <c r="D952" s="1791" t="s">
        <v>308</v>
      </c>
      <c r="E952" s="1790" t="s">
        <v>202</v>
      </c>
      <c r="F952" s="1792" t="s">
        <v>2472</v>
      </c>
      <c r="G952" s="1790" t="s">
        <v>2473</v>
      </c>
      <c r="H952" s="1793" t="s">
        <v>2474</v>
      </c>
      <c r="I952" s="1794" t="s">
        <v>2475</v>
      </c>
      <c r="J952" s="1795"/>
    </row>
    <row r="953" spans="1:10">
      <c r="A953" s="1797" t="s">
        <v>2476</v>
      </c>
      <c r="B953" s="1798" t="s">
        <v>2479</v>
      </c>
      <c r="C953" s="1798">
        <v>7356</v>
      </c>
      <c r="D953" s="1799" t="s">
        <v>2498</v>
      </c>
      <c r="E953" s="1800" t="s">
        <v>455</v>
      </c>
      <c r="F953" s="1807">
        <v>0.33</v>
      </c>
      <c r="G953" s="1801">
        <v>26.87</v>
      </c>
      <c r="H953" s="1802">
        <f>IF(E953="H",G953,TRUNC(G953*(1-$K$7),2))</f>
        <v>26.73</v>
      </c>
      <c r="I953" s="1803">
        <f t="shared" ref="I953:I955" si="131">TRUNC(H953*F953,2)</f>
        <v>8.82</v>
      </c>
      <c r="J953" s="1795"/>
    </row>
    <row r="954" spans="1:10">
      <c r="A954" s="1797" t="s">
        <v>2476</v>
      </c>
      <c r="B954" s="1798" t="s">
        <v>7</v>
      </c>
      <c r="C954" s="1798">
        <v>88310</v>
      </c>
      <c r="D954" s="1799" t="s">
        <v>127</v>
      </c>
      <c r="E954" s="1800" t="s">
        <v>411</v>
      </c>
      <c r="F954" s="1807">
        <v>0.187</v>
      </c>
      <c r="G954" s="1801">
        <v>25.64</v>
      </c>
      <c r="H954" s="1802">
        <f>IF(E954="H",G954,TRUNC(G954*(1-$K$7),2))</f>
        <v>25.64</v>
      </c>
      <c r="I954" s="1803">
        <f t="shared" si="131"/>
        <v>4.79</v>
      </c>
      <c r="J954" s="1795"/>
    </row>
    <row r="955" spans="1:10">
      <c r="A955" s="1797" t="s">
        <v>2476</v>
      </c>
      <c r="B955" s="1798" t="s">
        <v>7</v>
      </c>
      <c r="C955" s="1798">
        <v>88316</v>
      </c>
      <c r="D955" s="1799" t="s">
        <v>66</v>
      </c>
      <c r="E955" s="1800" t="s">
        <v>411</v>
      </c>
      <c r="F955" s="1807">
        <v>6.9000000000000006E-2</v>
      </c>
      <c r="G955" s="1801">
        <v>19.45</v>
      </c>
      <c r="H955" s="1802">
        <f>IF(E955="H",G955,TRUNC(G955*(1-$K$7),2))</f>
        <v>19.45</v>
      </c>
      <c r="I955" s="1803">
        <f t="shared" si="131"/>
        <v>1.34</v>
      </c>
      <c r="J955" s="1795"/>
    </row>
    <row r="956" spans="1:10">
      <c r="A956" s="1943" t="s">
        <v>2477</v>
      </c>
      <c r="B956" s="1944"/>
      <c r="C956" s="1944"/>
      <c r="D956" s="1944"/>
      <c r="E956" s="1944"/>
      <c r="F956" s="1944"/>
      <c r="G956" s="1944"/>
      <c r="H956" s="1945"/>
      <c r="I956" s="1805">
        <f>SUM(I953:I955)</f>
        <v>14.95</v>
      </c>
      <c r="J956" s="1795"/>
    </row>
    <row r="957" spans="1:10">
      <c r="A957" s="1929"/>
      <c r="B957" s="1930"/>
      <c r="C957" s="1930"/>
      <c r="D957" s="1930"/>
      <c r="E957" s="1930"/>
      <c r="F957" s="1930"/>
      <c r="G957" s="1930"/>
      <c r="H957" s="1930"/>
      <c r="I957" s="1931"/>
      <c r="J957" s="1795"/>
    </row>
    <row r="958" spans="1:10">
      <c r="A958" s="1784">
        <f>'PLANILHA SEM DESON'!B148</f>
        <v>88484</v>
      </c>
      <c r="B958" s="1940" t="str">
        <f>VLOOKUP(A958,'PLANILHA SEM DESON'!$B$17:$D$1700,2,FALSE)</f>
        <v>APLICAÇÃO DE FUNDO SELADOR ACRÍLICO EM TETO, UMA DEMÃO. AF_06/2014</v>
      </c>
      <c r="C958" s="1941"/>
      <c r="D958" s="1941"/>
      <c r="E958" s="1941"/>
      <c r="F958" s="1941"/>
      <c r="G958" s="1941"/>
      <c r="H958" s="1942"/>
      <c r="I958" s="1785" t="str">
        <f>VLOOKUP(A958,'PLANILHA SEM DESON'!$B$17:$D$1700,3,FALSE)</f>
        <v>m²</v>
      </c>
      <c r="J958" s="1786">
        <f>I963</f>
        <v>2.63</v>
      </c>
    </row>
    <row r="959" spans="1:10" ht="24">
      <c r="A959" s="1788" t="s">
        <v>2470</v>
      </c>
      <c r="B959" s="1789" t="s">
        <v>2471</v>
      </c>
      <c r="C959" s="1790" t="s">
        <v>2468</v>
      </c>
      <c r="D959" s="1791" t="s">
        <v>308</v>
      </c>
      <c r="E959" s="1790" t="s">
        <v>202</v>
      </c>
      <c r="F959" s="1792" t="s">
        <v>2472</v>
      </c>
      <c r="G959" s="1790" t="s">
        <v>2473</v>
      </c>
      <c r="H959" s="1793" t="s">
        <v>2474</v>
      </c>
      <c r="I959" s="1794" t="s">
        <v>2475</v>
      </c>
      <c r="J959" s="1795"/>
    </row>
    <row r="960" spans="1:10" ht="24">
      <c r="A960" s="1797" t="s">
        <v>2476</v>
      </c>
      <c r="B960" s="1798" t="s">
        <v>2479</v>
      </c>
      <c r="C960" s="1798">
        <v>6085</v>
      </c>
      <c r="D960" s="1799" t="s">
        <v>2684</v>
      </c>
      <c r="E960" s="1800" t="s">
        <v>455</v>
      </c>
      <c r="F960" s="1807">
        <v>0.16</v>
      </c>
      <c r="G960" s="1801">
        <v>6.11</v>
      </c>
      <c r="H960" s="1802">
        <f>IF(E960="H",G960,TRUNC(G960*(1-$K$7),2))</f>
        <v>6.07</v>
      </c>
      <c r="I960" s="1803">
        <f t="shared" ref="I960:I962" si="132">TRUNC(H960*F960,2)</f>
        <v>0.97</v>
      </c>
      <c r="J960" s="1795"/>
    </row>
    <row r="961" spans="1:10">
      <c r="A961" s="1797" t="s">
        <v>2476</v>
      </c>
      <c r="B961" s="1798" t="s">
        <v>7</v>
      </c>
      <c r="C961" s="1798">
        <v>88310</v>
      </c>
      <c r="D961" s="1799" t="s">
        <v>127</v>
      </c>
      <c r="E961" s="1800" t="s">
        <v>411</v>
      </c>
      <c r="F961" s="1807">
        <v>5.0999999999999997E-2</v>
      </c>
      <c r="G961" s="1801">
        <v>25.64</v>
      </c>
      <c r="H961" s="1802">
        <f>IF(E961="H",G961,TRUNC(G961*(1-$K$7),2))</f>
        <v>25.64</v>
      </c>
      <c r="I961" s="1803">
        <f t="shared" si="132"/>
        <v>1.3</v>
      </c>
      <c r="J961" s="1795"/>
    </row>
    <row r="962" spans="1:10">
      <c r="A962" s="1797" t="s">
        <v>2476</v>
      </c>
      <c r="B962" s="1798" t="s">
        <v>7</v>
      </c>
      <c r="C962" s="1798">
        <v>88316</v>
      </c>
      <c r="D962" s="1799" t="s">
        <v>66</v>
      </c>
      <c r="E962" s="1800" t="s">
        <v>411</v>
      </c>
      <c r="F962" s="1807">
        <v>1.9E-2</v>
      </c>
      <c r="G962" s="1801">
        <v>19.45</v>
      </c>
      <c r="H962" s="1802">
        <f>IF(E962="H",G962,TRUNC(G962*(1-$K$7),2))</f>
        <v>19.45</v>
      </c>
      <c r="I962" s="1803">
        <f t="shared" si="132"/>
        <v>0.36</v>
      </c>
      <c r="J962" s="1795"/>
    </row>
    <row r="963" spans="1:10">
      <c r="A963" s="1943" t="s">
        <v>2477</v>
      </c>
      <c r="B963" s="1944"/>
      <c r="C963" s="1944"/>
      <c r="D963" s="1944"/>
      <c r="E963" s="1944"/>
      <c r="F963" s="1944"/>
      <c r="G963" s="1944"/>
      <c r="H963" s="1945"/>
      <c r="I963" s="1805">
        <f>SUM(I960:I962)</f>
        <v>2.63</v>
      </c>
      <c r="J963" s="1795"/>
    </row>
    <row r="964" spans="1:10">
      <c r="A964" s="1929"/>
      <c r="B964" s="1930"/>
      <c r="C964" s="1930"/>
      <c r="D964" s="1930"/>
      <c r="E964" s="1930"/>
      <c r="F964" s="1930"/>
      <c r="G964" s="1930"/>
      <c r="H964" s="1930"/>
      <c r="I964" s="1931"/>
      <c r="J964" s="1795"/>
    </row>
    <row r="965" spans="1:10">
      <c r="A965" s="1784">
        <f>'PLANILHA SEM DESON'!B149</f>
        <v>88488</v>
      </c>
      <c r="B965" s="1940" t="str">
        <f>VLOOKUP(A965,'PLANILHA SEM DESON'!$B$17:$D$1700,2,FALSE)</f>
        <v>APLICAÇÃO MANUAL DE PINTURA COM TINTA LÁTEX ACRÍLICA EM TETO, DUAS DEMÃOS. AF_06/2014</v>
      </c>
      <c r="C965" s="1941"/>
      <c r="D965" s="1941"/>
      <c r="E965" s="1941"/>
      <c r="F965" s="1941"/>
      <c r="G965" s="1941"/>
      <c r="H965" s="1942"/>
      <c r="I965" s="1785" t="str">
        <f>VLOOKUP(A965,'PLANILHA SEM DESON'!$B$17:$D$1700,3,FALSE)</f>
        <v>m²</v>
      </c>
      <c r="J965" s="1786">
        <f>I970</f>
        <v>16.8</v>
      </c>
    </row>
    <row r="966" spans="1:10" ht="24">
      <c r="A966" s="1788" t="s">
        <v>2470</v>
      </c>
      <c r="B966" s="1789" t="s">
        <v>2471</v>
      </c>
      <c r="C966" s="1790" t="s">
        <v>2468</v>
      </c>
      <c r="D966" s="1791" t="s">
        <v>308</v>
      </c>
      <c r="E966" s="1790" t="s">
        <v>202</v>
      </c>
      <c r="F966" s="1792" t="s">
        <v>2472</v>
      </c>
      <c r="G966" s="1790" t="s">
        <v>2473</v>
      </c>
      <c r="H966" s="1793" t="s">
        <v>2474</v>
      </c>
      <c r="I966" s="1794" t="s">
        <v>2475</v>
      </c>
      <c r="J966" s="1795"/>
    </row>
    <row r="967" spans="1:10">
      <c r="A967" s="1797" t="s">
        <v>2476</v>
      </c>
      <c r="B967" s="1798" t="s">
        <v>2479</v>
      </c>
      <c r="C967" s="1798">
        <v>7356</v>
      </c>
      <c r="D967" s="1799" t="s">
        <v>2498</v>
      </c>
      <c r="E967" s="1800" t="s">
        <v>455</v>
      </c>
      <c r="F967" s="1807">
        <v>0.33</v>
      </c>
      <c r="G967" s="1801">
        <v>26.87</v>
      </c>
      <c r="H967" s="1802">
        <f>IF(E967="H",G967,TRUNC(G967*(1-$K$7),2))</f>
        <v>26.73</v>
      </c>
      <c r="I967" s="1803">
        <f t="shared" ref="I967:I969" si="133">TRUNC(H967*F967,2)</f>
        <v>8.82</v>
      </c>
      <c r="J967" s="1795"/>
    </row>
    <row r="968" spans="1:10">
      <c r="A968" s="1797" t="s">
        <v>2476</v>
      </c>
      <c r="B968" s="1798" t="s">
        <v>7</v>
      </c>
      <c r="C968" s="1798">
        <v>88310</v>
      </c>
      <c r="D968" s="1799" t="s">
        <v>127</v>
      </c>
      <c r="E968" s="1800" t="s">
        <v>411</v>
      </c>
      <c r="F968" s="1807">
        <v>0.24399999999999999</v>
      </c>
      <c r="G968" s="1801">
        <v>25.64</v>
      </c>
      <c r="H968" s="1802">
        <f>IF(E968="H",G968,TRUNC(G968*(1-$K$7),2))</f>
        <v>25.64</v>
      </c>
      <c r="I968" s="1803">
        <f t="shared" si="133"/>
        <v>6.25</v>
      </c>
      <c r="J968" s="1795"/>
    </row>
    <row r="969" spans="1:10">
      <c r="A969" s="1797" t="s">
        <v>2476</v>
      </c>
      <c r="B969" s="1798" t="s">
        <v>7</v>
      </c>
      <c r="C969" s="1798">
        <v>88316</v>
      </c>
      <c r="D969" s="1799" t="s">
        <v>66</v>
      </c>
      <c r="E969" s="1800" t="s">
        <v>411</v>
      </c>
      <c r="F969" s="1807">
        <v>8.8999999999999996E-2</v>
      </c>
      <c r="G969" s="1801">
        <v>19.45</v>
      </c>
      <c r="H969" s="1802">
        <f>IF(E969="H",G969,TRUNC(G969*(1-$K$7),2))</f>
        <v>19.45</v>
      </c>
      <c r="I969" s="1803">
        <f t="shared" si="133"/>
        <v>1.73</v>
      </c>
      <c r="J969" s="1795"/>
    </row>
    <row r="970" spans="1:10">
      <c r="A970" s="1943" t="s">
        <v>2477</v>
      </c>
      <c r="B970" s="1944"/>
      <c r="C970" s="1944"/>
      <c r="D970" s="1944"/>
      <c r="E970" s="1944"/>
      <c r="F970" s="1944"/>
      <c r="G970" s="1944"/>
      <c r="H970" s="1945"/>
      <c r="I970" s="1805">
        <f>SUM(I967:I969)</f>
        <v>16.8</v>
      </c>
      <c r="J970" s="1795"/>
    </row>
    <row r="971" spans="1:10">
      <c r="A971" s="1929"/>
      <c r="B971" s="1930"/>
      <c r="C971" s="1930"/>
      <c r="D971" s="1930"/>
      <c r="E971" s="1930"/>
      <c r="F971" s="1930"/>
      <c r="G971" s="1930"/>
      <c r="H971" s="1930"/>
      <c r="I971" s="1931"/>
      <c r="J971" s="1795"/>
    </row>
    <row r="972" spans="1:10">
      <c r="A972" s="1784">
        <f>'PLANILHA SEM DESON'!B151</f>
        <v>88415</v>
      </c>
      <c r="B972" s="1940" t="str">
        <f>VLOOKUP(A972,'PLANILHA SEM DESON'!$B$17:$D$1700,2,FALSE)</f>
        <v>APLICAÇÃO MANUAL DE FUNDO SELADOR ACRÍLICO EM PAREDES EXTERNAS DE CASAS. AF_06/2014</v>
      </c>
      <c r="C972" s="1941"/>
      <c r="D972" s="1941"/>
      <c r="E972" s="1941"/>
      <c r="F972" s="1941"/>
      <c r="G972" s="1941"/>
      <c r="H972" s="1942"/>
      <c r="I972" s="1785" t="str">
        <f>VLOOKUP(A972,'PLANILHA SEM DESON'!$B$17:$D$1700,3,FALSE)</f>
        <v>m²</v>
      </c>
      <c r="J972" s="1786">
        <f>I977</f>
        <v>2.6199999999999997</v>
      </c>
    </row>
    <row r="973" spans="1:10" ht="24">
      <c r="A973" s="1788" t="s">
        <v>2470</v>
      </c>
      <c r="B973" s="1789" t="s">
        <v>2471</v>
      </c>
      <c r="C973" s="1790" t="s">
        <v>2468</v>
      </c>
      <c r="D973" s="1791" t="s">
        <v>308</v>
      </c>
      <c r="E973" s="1790" t="s">
        <v>202</v>
      </c>
      <c r="F973" s="1792" t="s">
        <v>2472</v>
      </c>
      <c r="G973" s="1790" t="s">
        <v>2473</v>
      </c>
      <c r="H973" s="1793" t="s">
        <v>2474</v>
      </c>
      <c r="I973" s="1794" t="s">
        <v>2475</v>
      </c>
      <c r="J973" s="1795"/>
    </row>
    <row r="974" spans="1:10" ht="24">
      <c r="A974" s="1797" t="s">
        <v>2476</v>
      </c>
      <c r="B974" s="1798" t="s">
        <v>2479</v>
      </c>
      <c r="C974" s="1798">
        <v>6085</v>
      </c>
      <c r="D974" s="1799" t="s">
        <v>2684</v>
      </c>
      <c r="E974" s="1800" t="s">
        <v>455</v>
      </c>
      <c r="F974" s="1807">
        <v>0.16</v>
      </c>
      <c r="G974" s="1801">
        <v>6.11</v>
      </c>
      <c r="H974" s="1802">
        <f>IF(E974="H",G974,TRUNC(G974*(1-$K$7),2))</f>
        <v>6.07</v>
      </c>
      <c r="I974" s="1803">
        <f t="shared" ref="I974:I976" si="134">TRUNC(H974*F974,2)</f>
        <v>0.97</v>
      </c>
      <c r="J974" s="1795"/>
    </row>
    <row r="975" spans="1:10">
      <c r="A975" s="1797" t="s">
        <v>2476</v>
      </c>
      <c r="B975" s="1798" t="s">
        <v>7</v>
      </c>
      <c r="C975" s="1798">
        <v>88310</v>
      </c>
      <c r="D975" s="1799" t="s">
        <v>127</v>
      </c>
      <c r="E975" s="1800" t="s">
        <v>411</v>
      </c>
      <c r="F975" s="1807">
        <v>5.3999999999999999E-2</v>
      </c>
      <c r="G975" s="1801">
        <v>25.64</v>
      </c>
      <c r="H975" s="1802">
        <f>IF(E975="H",G975,TRUNC(G975*(1-$K$7),2))</f>
        <v>25.64</v>
      </c>
      <c r="I975" s="1803">
        <f t="shared" si="134"/>
        <v>1.38</v>
      </c>
      <c r="J975" s="1795"/>
    </row>
    <row r="976" spans="1:10">
      <c r="A976" s="1797" t="s">
        <v>2476</v>
      </c>
      <c r="B976" s="1798" t="s">
        <v>7</v>
      </c>
      <c r="C976" s="1798">
        <v>88316</v>
      </c>
      <c r="D976" s="1799" t="s">
        <v>66</v>
      </c>
      <c r="E976" s="1800" t="s">
        <v>411</v>
      </c>
      <c r="F976" s="1807">
        <v>1.4E-2</v>
      </c>
      <c r="G976" s="1801">
        <v>19.45</v>
      </c>
      <c r="H976" s="1802">
        <f>IF(E976="H",G976,TRUNC(G976*(1-$K$7),2))</f>
        <v>19.45</v>
      </c>
      <c r="I976" s="1803">
        <f t="shared" si="134"/>
        <v>0.27</v>
      </c>
      <c r="J976" s="1795"/>
    </row>
    <row r="977" spans="1:10">
      <c r="A977" s="1943" t="s">
        <v>2477</v>
      </c>
      <c r="B977" s="1944"/>
      <c r="C977" s="1944"/>
      <c r="D977" s="1944"/>
      <c r="E977" s="1944"/>
      <c r="F977" s="1944"/>
      <c r="G977" s="1944"/>
      <c r="H977" s="1945"/>
      <c r="I977" s="1805">
        <f>SUM(I974:I976)</f>
        <v>2.6199999999999997</v>
      </c>
      <c r="J977" s="1795"/>
    </row>
    <row r="978" spans="1:10">
      <c r="A978" s="1929"/>
      <c r="B978" s="1930"/>
      <c r="C978" s="1930"/>
      <c r="D978" s="1930"/>
      <c r="E978" s="1930"/>
      <c r="F978" s="1930"/>
      <c r="G978" s="1930"/>
      <c r="H978" s="1930"/>
      <c r="I978" s="1931"/>
      <c r="J978" s="1795"/>
    </row>
    <row r="979" spans="1:10" ht="26.25" customHeight="1">
      <c r="A979" s="1784">
        <f>'PLANILHA SEM DESON'!B152</f>
        <v>88431</v>
      </c>
      <c r="B979" s="1940" t="str">
        <f>VLOOKUP(A979,'PLANILHA SEM DESON'!$B$17:$D$1700,2,FALSE)</f>
        <v>APLICAÇÃO MANUAL DE PINTURA COM TINTA TEXTURIZADA ACRÍLICA EM PAREDES EXTERNAS DE CASAS, DUAS CORES. AF_06/2014</v>
      </c>
      <c r="C979" s="1941"/>
      <c r="D979" s="1941"/>
      <c r="E979" s="1941"/>
      <c r="F979" s="1941"/>
      <c r="G979" s="1941"/>
      <c r="H979" s="1942"/>
      <c r="I979" s="1785" t="str">
        <f>VLOOKUP(A979,'PLANILHA SEM DESON'!$B$17:$D$1700,3,FALSE)</f>
        <v>m²</v>
      </c>
      <c r="J979" s="1786">
        <f>I984</f>
        <v>21.57</v>
      </c>
    </row>
    <row r="980" spans="1:10" ht="24">
      <c r="A980" s="1788" t="s">
        <v>2470</v>
      </c>
      <c r="B980" s="1789" t="s">
        <v>2471</v>
      </c>
      <c r="C980" s="1790" t="s">
        <v>2468</v>
      </c>
      <c r="D980" s="1791" t="s">
        <v>308</v>
      </c>
      <c r="E980" s="1790" t="s">
        <v>202</v>
      </c>
      <c r="F980" s="1792" t="s">
        <v>2472</v>
      </c>
      <c r="G980" s="1790" t="s">
        <v>2473</v>
      </c>
      <c r="H980" s="1793" t="s">
        <v>2474</v>
      </c>
      <c r="I980" s="1794" t="s">
        <v>2475</v>
      </c>
      <c r="J980" s="1795"/>
    </row>
    <row r="981" spans="1:10" ht="24">
      <c r="A981" s="1797" t="s">
        <v>2476</v>
      </c>
      <c r="B981" s="1798" t="s">
        <v>2479</v>
      </c>
      <c r="C981" s="1798">
        <v>38877</v>
      </c>
      <c r="D981" s="1799" t="s">
        <v>2685</v>
      </c>
      <c r="E981" s="1800" t="s">
        <v>1184</v>
      </c>
      <c r="F981" s="1807">
        <v>1.9379999999999999</v>
      </c>
      <c r="G981" s="1801">
        <v>6.41</v>
      </c>
      <c r="H981" s="1802">
        <f>IF(E981="H",G981,TRUNC(G981*(1-$K$7),2))</f>
        <v>6.37</v>
      </c>
      <c r="I981" s="1803">
        <f t="shared" ref="I981:I983" si="135">TRUNC(H981*F981,2)</f>
        <v>12.34</v>
      </c>
      <c r="J981" s="1795"/>
    </row>
    <row r="982" spans="1:10">
      <c r="A982" s="1797" t="s">
        <v>2476</v>
      </c>
      <c r="B982" s="1798" t="s">
        <v>7</v>
      </c>
      <c r="C982" s="1798">
        <v>88310</v>
      </c>
      <c r="D982" s="1799" t="s">
        <v>127</v>
      </c>
      <c r="E982" s="1800" t="s">
        <v>411</v>
      </c>
      <c r="F982" s="1807">
        <v>0.30299999999999999</v>
      </c>
      <c r="G982" s="1801">
        <v>25.64</v>
      </c>
      <c r="H982" s="1802">
        <f>IF(E982="H",G982,TRUNC(G982*(1-$K$7),2))</f>
        <v>25.64</v>
      </c>
      <c r="I982" s="1803">
        <f t="shared" si="135"/>
        <v>7.76</v>
      </c>
      <c r="J982" s="1795"/>
    </row>
    <row r="983" spans="1:10">
      <c r="A983" s="1797" t="s">
        <v>2476</v>
      </c>
      <c r="B983" s="1798" t="s">
        <v>7</v>
      </c>
      <c r="C983" s="1798">
        <v>88316</v>
      </c>
      <c r="D983" s="1799" t="s">
        <v>66</v>
      </c>
      <c r="E983" s="1800" t="s">
        <v>411</v>
      </c>
      <c r="F983" s="1807">
        <v>7.5999999999999998E-2</v>
      </c>
      <c r="G983" s="1801">
        <v>19.45</v>
      </c>
      <c r="H983" s="1802">
        <f>IF(E983="H",G983,TRUNC(G983*(1-$K$7),2))</f>
        <v>19.45</v>
      </c>
      <c r="I983" s="1803">
        <f t="shared" si="135"/>
        <v>1.47</v>
      </c>
      <c r="J983" s="1795"/>
    </row>
    <row r="984" spans="1:10">
      <c r="A984" s="1943" t="s">
        <v>2477</v>
      </c>
      <c r="B984" s="1944"/>
      <c r="C984" s="1944"/>
      <c r="D984" s="1944"/>
      <c r="E984" s="1944"/>
      <c r="F984" s="1944"/>
      <c r="G984" s="1944"/>
      <c r="H984" s="1945"/>
      <c r="I984" s="1805">
        <f>SUM(I981:I983)</f>
        <v>21.57</v>
      </c>
      <c r="J984" s="1795"/>
    </row>
    <row r="985" spans="1:10">
      <c r="A985" s="1929"/>
      <c r="B985" s="1930"/>
      <c r="C985" s="1930"/>
      <c r="D985" s="1930"/>
      <c r="E985" s="1930"/>
      <c r="F985" s="1930"/>
      <c r="G985" s="1930"/>
      <c r="H985" s="1930"/>
      <c r="I985" s="1931"/>
      <c r="J985" s="1795"/>
    </row>
    <row r="986" spans="1:10">
      <c r="A986" s="1784">
        <f>'PLANILHA SEM DESON'!B153</f>
        <v>95626</v>
      </c>
      <c r="B986" s="1940" t="str">
        <f>VLOOKUP(A986,'PLANILHA SEM DESON'!$B$17:$D$1700,2,FALSE)</f>
        <v>APLICAÇÃO MANUAL DE TINTA LÁTEX ACRÍLICA EM PAREDE EXTERNAS DE CASAS,DUAS DEMÃOS. AF_11/2016</v>
      </c>
      <c r="C986" s="1941"/>
      <c r="D986" s="1941"/>
      <c r="E986" s="1941"/>
      <c r="F986" s="1941"/>
      <c r="G986" s="1941"/>
      <c r="H986" s="1942"/>
      <c r="I986" s="1785" t="str">
        <f>VLOOKUP(A986,'PLANILHA SEM DESON'!$B$17:$D$1700,3,FALSE)</f>
        <v>m²</v>
      </c>
      <c r="J986" s="1786">
        <f>I991</f>
        <v>15.83</v>
      </c>
    </row>
    <row r="987" spans="1:10" ht="24">
      <c r="A987" s="1788" t="s">
        <v>2470</v>
      </c>
      <c r="B987" s="1789" t="s">
        <v>2471</v>
      </c>
      <c r="C987" s="1790" t="s">
        <v>2468</v>
      </c>
      <c r="D987" s="1791" t="s">
        <v>308</v>
      </c>
      <c r="E987" s="1790" t="s">
        <v>202</v>
      </c>
      <c r="F987" s="1792" t="s">
        <v>2472</v>
      </c>
      <c r="G987" s="1790" t="s">
        <v>2473</v>
      </c>
      <c r="H987" s="1793" t="s">
        <v>2474</v>
      </c>
      <c r="I987" s="1794" t="s">
        <v>2475</v>
      </c>
      <c r="J987" s="1795"/>
    </row>
    <row r="988" spans="1:10">
      <c r="A988" s="1797" t="s">
        <v>2476</v>
      </c>
      <c r="B988" s="1798" t="s">
        <v>2479</v>
      </c>
      <c r="C988" s="1798">
        <v>7356</v>
      </c>
      <c r="D988" s="1799" t="s">
        <v>2498</v>
      </c>
      <c r="E988" s="1800" t="s">
        <v>455</v>
      </c>
      <c r="F988" s="1807">
        <v>0.2</v>
      </c>
      <c r="G988" s="1801">
        <v>26.87</v>
      </c>
      <c r="H988" s="1802">
        <f>IF(E988="H",G988,TRUNC(G988*(1-$K$7),2))</f>
        <v>26.73</v>
      </c>
      <c r="I988" s="1803">
        <f t="shared" ref="I988:I990" si="136">TRUNC(H988*F988,2)</f>
        <v>5.34</v>
      </c>
      <c r="J988" s="1795"/>
    </row>
    <row r="989" spans="1:10">
      <c r="A989" s="1797" t="s">
        <v>2476</v>
      </c>
      <c r="B989" s="1798" t="s">
        <v>7</v>
      </c>
      <c r="C989" s="1798">
        <v>88310</v>
      </c>
      <c r="D989" s="1799" t="s">
        <v>127</v>
      </c>
      <c r="E989" s="1800" t="s">
        <v>411</v>
      </c>
      <c r="F989" s="1807">
        <v>0.34399999999999997</v>
      </c>
      <c r="G989" s="1801">
        <v>25.64</v>
      </c>
      <c r="H989" s="1802">
        <f>IF(E989="H",G989,TRUNC(G989*(1-$K$7),2))</f>
        <v>25.64</v>
      </c>
      <c r="I989" s="1803">
        <f t="shared" si="136"/>
        <v>8.82</v>
      </c>
      <c r="J989" s="1795"/>
    </row>
    <row r="990" spans="1:10">
      <c r="A990" s="1797" t="s">
        <v>2476</v>
      </c>
      <c r="B990" s="1798" t="s">
        <v>7</v>
      </c>
      <c r="C990" s="1798">
        <v>88316</v>
      </c>
      <c r="D990" s="1799" t="s">
        <v>66</v>
      </c>
      <c r="E990" s="1800" t="s">
        <v>411</v>
      </c>
      <c r="F990" s="1807">
        <v>8.5999999999999993E-2</v>
      </c>
      <c r="G990" s="1801">
        <v>19.45</v>
      </c>
      <c r="H990" s="1802">
        <f>IF(E990="H",G990,TRUNC(G990*(1-$K$7),2))</f>
        <v>19.45</v>
      </c>
      <c r="I990" s="1803">
        <f t="shared" si="136"/>
        <v>1.67</v>
      </c>
      <c r="J990" s="1795"/>
    </row>
    <row r="991" spans="1:10">
      <c r="A991" s="1943" t="s">
        <v>2477</v>
      </c>
      <c r="B991" s="1944"/>
      <c r="C991" s="1944"/>
      <c r="D991" s="1944"/>
      <c r="E991" s="1944"/>
      <c r="F991" s="1944"/>
      <c r="G991" s="1944"/>
      <c r="H991" s="1945"/>
      <c r="I991" s="1805">
        <f>SUM(I988:I990)</f>
        <v>15.83</v>
      </c>
      <c r="J991" s="1795"/>
    </row>
    <row r="992" spans="1:10">
      <c r="A992" s="1929"/>
      <c r="B992" s="1930"/>
      <c r="C992" s="1930"/>
      <c r="D992" s="1930"/>
      <c r="E992" s="1930"/>
      <c r="F992" s="1930"/>
      <c r="G992" s="1930"/>
      <c r="H992" s="1930"/>
      <c r="I992" s="1931"/>
      <c r="J992" s="1795"/>
    </row>
    <row r="993" spans="1:10">
      <c r="A993" s="1784" t="str">
        <f>'PLANILHA SEM DESON'!B154</f>
        <v>COMP 31</v>
      </c>
      <c r="B993" s="1940" t="str">
        <f>VLOOKUP(A993,'PLANILHA SEM DESON'!$B$17:$D$1700,2,FALSE)</f>
        <v>REGULARIZAÇÃO DE LAJE COM INCLINAÇÃO DE 2%</v>
      </c>
      <c r="C993" s="1941"/>
      <c r="D993" s="1941"/>
      <c r="E993" s="1941"/>
      <c r="F993" s="1941"/>
      <c r="G993" s="1941"/>
      <c r="H993" s="1942"/>
      <c r="I993" s="1785" t="str">
        <f>VLOOKUP(A993,'PLANILHA SEM DESON'!$B$17:$D$1700,3,FALSE)</f>
        <v>m²</v>
      </c>
      <c r="J993" s="1786">
        <f>I999</f>
        <v>27.77</v>
      </c>
    </row>
    <row r="994" spans="1:10" ht="24">
      <c r="A994" s="1788" t="s">
        <v>2470</v>
      </c>
      <c r="B994" s="1789" t="s">
        <v>2471</v>
      </c>
      <c r="C994" s="1790" t="s">
        <v>2468</v>
      </c>
      <c r="D994" s="1791" t="s">
        <v>308</v>
      </c>
      <c r="E994" s="1790" t="s">
        <v>202</v>
      </c>
      <c r="F994" s="1792" t="s">
        <v>2472</v>
      </c>
      <c r="G994" s="1790" t="s">
        <v>2473</v>
      </c>
      <c r="H994" s="1793" t="s">
        <v>2474</v>
      </c>
      <c r="I994" s="1794" t="s">
        <v>2475</v>
      </c>
      <c r="J994" s="1795"/>
    </row>
    <row r="995" spans="1:10">
      <c r="A995" s="1797"/>
      <c r="B995" s="1798"/>
      <c r="C995" s="1798">
        <v>88309</v>
      </c>
      <c r="D995" s="1799" t="s">
        <v>103</v>
      </c>
      <c r="E995" s="1800" t="s">
        <v>57</v>
      </c>
      <c r="F995" s="1809">
        <v>0.113</v>
      </c>
      <c r="G995" s="1807">
        <v>24.59</v>
      </c>
      <c r="H995" s="1802">
        <f>IF(E995="H",G995,TRUNC(G995*(1-$K$7),2))</f>
        <v>24.59</v>
      </c>
      <c r="I995" s="1803">
        <f t="shared" ref="I995:I998" si="137">TRUNC(H995*F995,2)</f>
        <v>2.77</v>
      </c>
      <c r="J995" s="1795"/>
    </row>
    <row r="996" spans="1:10">
      <c r="A996" s="1797"/>
      <c r="B996" s="1798"/>
      <c r="C996" s="1798">
        <v>88316</v>
      </c>
      <c r="D996" s="1799" t="s">
        <v>66</v>
      </c>
      <c r="E996" s="1800" t="s">
        <v>57</v>
      </c>
      <c r="F996" s="1809">
        <v>3.61E-2</v>
      </c>
      <c r="G996" s="1808">
        <v>19.45</v>
      </c>
      <c r="H996" s="1802">
        <f>IF(E996="H",G996,TRUNC(G996*(1-$K$7),2))</f>
        <v>19.45</v>
      </c>
      <c r="I996" s="1803">
        <f t="shared" si="137"/>
        <v>0.7</v>
      </c>
      <c r="J996" s="1795"/>
    </row>
    <row r="997" spans="1:10" ht="24">
      <c r="A997" s="1797"/>
      <c r="B997" s="1798"/>
      <c r="C997" s="1798">
        <v>7334</v>
      </c>
      <c r="D997" s="1799" t="s">
        <v>2080</v>
      </c>
      <c r="E997" s="1800" t="s">
        <v>455</v>
      </c>
      <c r="F997" s="1811">
        <v>0.2</v>
      </c>
      <c r="G997" s="1806">
        <v>21.98</v>
      </c>
      <c r="H997" s="1802">
        <f>IF(E997="H",G997,TRUNC(G997*(1-$K$7),2))</f>
        <v>21.86</v>
      </c>
      <c r="I997" s="1803">
        <f t="shared" si="137"/>
        <v>4.37</v>
      </c>
      <c r="J997" s="1795"/>
    </row>
    <row r="998" spans="1:10" ht="36">
      <c r="A998" s="1797"/>
      <c r="B998" s="1798"/>
      <c r="C998" s="1798">
        <v>38546</v>
      </c>
      <c r="D998" s="1799" t="s">
        <v>2081</v>
      </c>
      <c r="E998" s="1800" t="s">
        <v>47</v>
      </c>
      <c r="F998" s="1809">
        <v>3.1199999999999999E-2</v>
      </c>
      <c r="G998" s="1806">
        <v>642.23</v>
      </c>
      <c r="H998" s="1802">
        <f>IF(E998="H",G998,TRUNC(G998*(1-$K$7),2))</f>
        <v>638.95000000000005</v>
      </c>
      <c r="I998" s="1803">
        <f t="shared" si="137"/>
        <v>19.93</v>
      </c>
      <c r="J998" s="1795"/>
    </row>
    <row r="999" spans="1:10">
      <c r="A999" s="1943" t="s">
        <v>2477</v>
      </c>
      <c r="B999" s="1944"/>
      <c r="C999" s="1944"/>
      <c r="D999" s="1944"/>
      <c r="E999" s="1944"/>
      <c r="F999" s="1944"/>
      <c r="G999" s="1944"/>
      <c r="H999" s="1945"/>
      <c r="I999" s="1805">
        <f>SUM(I995:I998)</f>
        <v>27.77</v>
      </c>
      <c r="J999" s="1795"/>
    </row>
    <row r="1000" spans="1:10">
      <c r="A1000" s="1929"/>
      <c r="B1000" s="1930"/>
      <c r="C1000" s="1930"/>
      <c r="D1000" s="1930"/>
      <c r="E1000" s="1930"/>
      <c r="F1000" s="1930"/>
      <c r="G1000" s="1930"/>
      <c r="H1000" s="1930"/>
      <c r="I1000" s="1931"/>
      <c r="J1000" s="1795"/>
    </row>
    <row r="1001" spans="1:10">
      <c r="A1001" s="1784">
        <f>'PLANILHA SEM DESON'!B155</f>
        <v>88488</v>
      </c>
      <c r="B1001" s="1940" t="str">
        <f>VLOOKUP(A1001,'PLANILHA SEM DESON'!$B$17:$D$1700,2,FALSE)</f>
        <v>APLICAÇÃO MANUAL DE PINTURA COM TINTA LÁTEX ACRÍLICA EM TETO, DUAS DEMÃOS. AF_06/2014</v>
      </c>
      <c r="C1001" s="1941"/>
      <c r="D1001" s="1941"/>
      <c r="E1001" s="1941"/>
      <c r="F1001" s="1941"/>
      <c r="G1001" s="1941"/>
      <c r="H1001" s="1942"/>
      <c r="I1001" s="1785" t="str">
        <f>VLOOKUP(A1001,'PLANILHA SEM DESON'!$B$17:$D$1700,3,FALSE)</f>
        <v>m²</v>
      </c>
      <c r="J1001" s="1786">
        <f>I1006</f>
        <v>16.8</v>
      </c>
    </row>
    <row r="1002" spans="1:10" ht="24">
      <c r="A1002" s="1788" t="s">
        <v>2470</v>
      </c>
      <c r="B1002" s="1789" t="s">
        <v>2471</v>
      </c>
      <c r="C1002" s="1790" t="s">
        <v>2468</v>
      </c>
      <c r="D1002" s="1791" t="s">
        <v>308</v>
      </c>
      <c r="E1002" s="1790" t="s">
        <v>202</v>
      </c>
      <c r="F1002" s="1792" t="s">
        <v>2472</v>
      </c>
      <c r="G1002" s="1790" t="s">
        <v>2473</v>
      </c>
      <c r="H1002" s="1793" t="s">
        <v>2474</v>
      </c>
      <c r="I1002" s="1794" t="s">
        <v>2475</v>
      </c>
      <c r="J1002" s="1795"/>
    </row>
    <row r="1003" spans="1:10">
      <c r="A1003" s="1797" t="s">
        <v>2476</v>
      </c>
      <c r="B1003" s="1798" t="s">
        <v>2479</v>
      </c>
      <c r="C1003" s="1798">
        <v>7356</v>
      </c>
      <c r="D1003" s="1799" t="s">
        <v>2498</v>
      </c>
      <c r="E1003" s="1800" t="s">
        <v>455</v>
      </c>
      <c r="F1003" s="1807">
        <v>0.33</v>
      </c>
      <c r="G1003" s="1801">
        <v>26.87</v>
      </c>
      <c r="H1003" s="1802">
        <f>IF(E1003="H",G1003,TRUNC(G1003*(1-$K$7),2))</f>
        <v>26.73</v>
      </c>
      <c r="I1003" s="1803">
        <f t="shared" ref="I1003:I1005" si="138">TRUNC(H1003*F1003,2)</f>
        <v>8.82</v>
      </c>
      <c r="J1003" s="1795"/>
    </row>
    <row r="1004" spans="1:10">
      <c r="A1004" s="1797" t="s">
        <v>2476</v>
      </c>
      <c r="B1004" s="1798" t="s">
        <v>7</v>
      </c>
      <c r="C1004" s="1798">
        <v>88310</v>
      </c>
      <c r="D1004" s="1799" t="s">
        <v>127</v>
      </c>
      <c r="E1004" s="1800" t="s">
        <v>411</v>
      </c>
      <c r="F1004" s="1807">
        <v>0.24399999999999999</v>
      </c>
      <c r="G1004" s="1801">
        <v>25.64</v>
      </c>
      <c r="H1004" s="1802">
        <f>IF(E1004="H",G1004,TRUNC(G1004*(1-$K$7),2))</f>
        <v>25.64</v>
      </c>
      <c r="I1004" s="1803">
        <f t="shared" si="138"/>
        <v>6.25</v>
      </c>
      <c r="J1004" s="1795"/>
    </row>
    <row r="1005" spans="1:10">
      <c r="A1005" s="1797" t="s">
        <v>2476</v>
      </c>
      <c r="B1005" s="1798" t="s">
        <v>7</v>
      </c>
      <c r="C1005" s="1798">
        <v>88316</v>
      </c>
      <c r="D1005" s="1799" t="s">
        <v>66</v>
      </c>
      <c r="E1005" s="1800" t="s">
        <v>411</v>
      </c>
      <c r="F1005" s="1807">
        <v>8.8999999999999996E-2</v>
      </c>
      <c r="G1005" s="1801">
        <v>19.45</v>
      </c>
      <c r="H1005" s="1802">
        <f>IF(E1005="H",G1005,TRUNC(G1005*(1-$K$7),2))</f>
        <v>19.45</v>
      </c>
      <c r="I1005" s="1803">
        <f t="shared" si="138"/>
        <v>1.73</v>
      </c>
      <c r="J1005" s="1795"/>
    </row>
    <row r="1006" spans="1:10">
      <c r="A1006" s="1943" t="s">
        <v>2477</v>
      </c>
      <c r="B1006" s="1944"/>
      <c r="C1006" s="1944"/>
      <c r="D1006" s="1944"/>
      <c r="E1006" s="1944"/>
      <c r="F1006" s="1944"/>
      <c r="G1006" s="1944"/>
      <c r="H1006" s="1945"/>
      <c r="I1006" s="1805">
        <f>SUM(I1003:I1005)</f>
        <v>16.8</v>
      </c>
      <c r="J1006" s="1795"/>
    </row>
    <row r="1007" spans="1:10">
      <c r="A1007" s="1929"/>
      <c r="B1007" s="1930"/>
      <c r="C1007" s="1930"/>
      <c r="D1007" s="1930"/>
      <c r="E1007" s="1930"/>
      <c r="F1007" s="1930"/>
      <c r="G1007" s="1930"/>
      <c r="H1007" s="1930"/>
      <c r="I1007" s="1931"/>
      <c r="J1007" s="1795"/>
    </row>
    <row r="1008" spans="1:10" ht="24.75" customHeight="1">
      <c r="A1008" s="1784" t="str">
        <f>'PLANILHA SEM DESON'!B159</f>
        <v>COMP ESTR 05</v>
      </c>
      <c r="B1008" s="1940" t="str">
        <f>VLOOKUP(A1008,'PLANILHA SEM DESON'!$B$17:$D$1700,2,FALSE)</f>
        <v>FORNECIMENTO E MONTAGEM DE ESTRUTURA METÁLICA PARA COBERTURA, EXECUTADA EM PERFIS LAMINADOS/SOLDADOS/DOBRADOS DE CHAPAS DE AÇO, CONFORME PROJETOS ESTRUTURAIS</v>
      </c>
      <c r="C1008" s="1941"/>
      <c r="D1008" s="1941"/>
      <c r="E1008" s="1941"/>
      <c r="F1008" s="1941"/>
      <c r="G1008" s="1941"/>
      <c r="H1008" s="1942"/>
      <c r="I1008" s="1785" t="str">
        <f>VLOOKUP(A1008,'PLANILHA SEM DESON'!$B$17:$D$1700,3,FALSE)</f>
        <v>Kg</v>
      </c>
      <c r="J1008" s="1786">
        <f>I1023</f>
        <v>15.14</v>
      </c>
    </row>
    <row r="1009" spans="1:10" ht="24">
      <c r="A1009" s="1788" t="s">
        <v>2470</v>
      </c>
      <c r="B1009" s="1789" t="s">
        <v>2471</v>
      </c>
      <c r="C1009" s="1790" t="s">
        <v>2468</v>
      </c>
      <c r="D1009" s="1791" t="s">
        <v>308</v>
      </c>
      <c r="E1009" s="1790" t="s">
        <v>202</v>
      </c>
      <c r="F1009" s="1792" t="s">
        <v>2472</v>
      </c>
      <c r="G1009" s="1790" t="s">
        <v>2473</v>
      </c>
      <c r="H1009" s="1793" t="s">
        <v>2474</v>
      </c>
      <c r="I1009" s="1794" t="s">
        <v>2475</v>
      </c>
      <c r="J1009" s="1795"/>
    </row>
    <row r="1010" spans="1:10">
      <c r="A1010" s="1797"/>
      <c r="B1010" s="1798"/>
      <c r="C1010" s="1798">
        <v>88315</v>
      </c>
      <c r="D1010" s="1799" t="s">
        <v>1373</v>
      </c>
      <c r="E1010" s="1813" t="s">
        <v>411</v>
      </c>
      <c r="F1010" s="1814">
        <v>0.02</v>
      </c>
      <c r="G1010" s="1806">
        <v>24.44</v>
      </c>
      <c r="H1010" s="1802">
        <f t="shared" ref="H1010:H1022" si="139">IF(E1010="H",G1010,TRUNC(G1010*(1-$K$7),2))</f>
        <v>24.44</v>
      </c>
      <c r="I1010" s="1803">
        <f t="shared" ref="I1010:I1022" si="140">TRUNC(H1010*F1010,2)</f>
        <v>0.48</v>
      </c>
      <c r="J1010" s="1795"/>
    </row>
    <row r="1011" spans="1:10" ht="24">
      <c r="A1011" s="1797"/>
      <c r="B1011" s="1798"/>
      <c r="C1011" s="1798">
        <v>88251</v>
      </c>
      <c r="D1011" s="1799" t="s">
        <v>1374</v>
      </c>
      <c r="E1011" s="1813" t="s">
        <v>411</v>
      </c>
      <c r="F1011" s="1814">
        <v>0.02</v>
      </c>
      <c r="G1011" s="1806">
        <v>20.63</v>
      </c>
      <c r="H1011" s="1802">
        <f t="shared" si="139"/>
        <v>20.63</v>
      </c>
      <c r="I1011" s="1803">
        <f t="shared" ref="I1011:I1016" si="141">TRUNC(H1011*F1011,2)</f>
        <v>0.41</v>
      </c>
      <c r="J1011" s="1795"/>
    </row>
    <row r="1012" spans="1:10">
      <c r="A1012" s="1797"/>
      <c r="B1012" s="1798"/>
      <c r="C1012" s="1798">
        <v>88310</v>
      </c>
      <c r="D1012" s="1799" t="s">
        <v>127</v>
      </c>
      <c r="E1012" s="1813" t="s">
        <v>411</v>
      </c>
      <c r="F1012" s="1814">
        <v>3.0000000000000001E-3</v>
      </c>
      <c r="G1012" s="1806">
        <v>25.64</v>
      </c>
      <c r="H1012" s="1802">
        <f t="shared" si="139"/>
        <v>25.64</v>
      </c>
      <c r="I1012" s="1803">
        <f t="shared" si="141"/>
        <v>7.0000000000000007E-2</v>
      </c>
      <c r="J1012" s="1795"/>
    </row>
    <row r="1013" spans="1:10" ht="24">
      <c r="A1013" s="1797"/>
      <c r="B1013" s="1798"/>
      <c r="C1013" s="1798">
        <v>100301</v>
      </c>
      <c r="D1013" s="1799" t="s">
        <v>1375</v>
      </c>
      <c r="E1013" s="1813" t="s">
        <v>411</v>
      </c>
      <c r="F1013" s="1814">
        <v>3.0000000000000001E-3</v>
      </c>
      <c r="G1013" s="1806">
        <v>21.82</v>
      </c>
      <c r="H1013" s="1802">
        <f t="shared" si="139"/>
        <v>21.82</v>
      </c>
      <c r="I1013" s="1803">
        <f t="shared" si="141"/>
        <v>0.06</v>
      </c>
      <c r="J1013" s="1795"/>
    </row>
    <row r="1014" spans="1:10" ht="24">
      <c r="A1014" s="1797"/>
      <c r="B1014" s="1798"/>
      <c r="C1014" s="1798">
        <v>88240</v>
      </c>
      <c r="D1014" s="1799" t="s">
        <v>1376</v>
      </c>
      <c r="E1014" s="1813" t="s">
        <v>411</v>
      </c>
      <c r="F1014" s="1814">
        <v>0.04</v>
      </c>
      <c r="G1014" s="1806">
        <v>14.26</v>
      </c>
      <c r="H1014" s="1802">
        <f t="shared" si="139"/>
        <v>14.26</v>
      </c>
      <c r="I1014" s="1803">
        <f t="shared" si="141"/>
        <v>0.56999999999999995</v>
      </c>
      <c r="J1014" s="1795"/>
    </row>
    <row r="1015" spans="1:10">
      <c r="A1015" s="1797"/>
      <c r="B1015" s="1798"/>
      <c r="C1015" s="1798">
        <v>88317</v>
      </c>
      <c r="D1015" s="1799" t="s">
        <v>1377</v>
      </c>
      <c r="E1015" s="1813" t="s">
        <v>411</v>
      </c>
      <c r="F1015" s="1814">
        <v>0.04</v>
      </c>
      <c r="G1015" s="1806">
        <v>25.26</v>
      </c>
      <c r="H1015" s="1802">
        <f t="shared" si="139"/>
        <v>25.26</v>
      </c>
      <c r="I1015" s="1803">
        <f t="shared" si="141"/>
        <v>1.01</v>
      </c>
      <c r="J1015" s="1795"/>
    </row>
    <row r="1016" spans="1:10" ht="48">
      <c r="A1016" s="1797"/>
      <c r="B1016" s="1798"/>
      <c r="C1016" s="1798">
        <v>98764</v>
      </c>
      <c r="D1016" s="1799" t="s">
        <v>1380</v>
      </c>
      <c r="E1016" s="1813" t="s">
        <v>456</v>
      </c>
      <c r="F1016" s="1814">
        <v>0.04</v>
      </c>
      <c r="G1016" s="1806">
        <v>5.3</v>
      </c>
      <c r="H1016" s="1802">
        <f t="shared" si="139"/>
        <v>5.27</v>
      </c>
      <c r="I1016" s="1803">
        <f t="shared" si="141"/>
        <v>0.21</v>
      </c>
      <c r="J1016" s="1795"/>
    </row>
    <row r="1017" spans="1:10" ht="48">
      <c r="A1017" s="1797"/>
      <c r="B1017" s="1798"/>
      <c r="C1017" s="1798">
        <v>98765</v>
      </c>
      <c r="D1017" s="1799" t="s">
        <v>1381</v>
      </c>
      <c r="E1017" s="1813" t="s">
        <v>577</v>
      </c>
      <c r="F1017" s="1814">
        <v>0.04</v>
      </c>
      <c r="G1017" s="1806">
        <v>0.1</v>
      </c>
      <c r="H1017" s="1802">
        <f t="shared" si="139"/>
        <v>0.09</v>
      </c>
      <c r="I1017" s="1803">
        <f t="shared" si="140"/>
        <v>0</v>
      </c>
      <c r="J1017" s="1795"/>
    </row>
    <row r="1018" spans="1:10" ht="36">
      <c r="A1018" s="1797"/>
      <c r="B1018" s="1798"/>
      <c r="C1018" s="1798">
        <v>43083</v>
      </c>
      <c r="D1018" s="1799" t="s">
        <v>1382</v>
      </c>
      <c r="E1018" s="1813" t="s">
        <v>1383</v>
      </c>
      <c r="F1018" s="1814">
        <v>0.52500000000000002</v>
      </c>
      <c r="G1018" s="1806">
        <v>11.26</v>
      </c>
      <c r="H1018" s="1802">
        <f t="shared" si="139"/>
        <v>11.2</v>
      </c>
      <c r="I1018" s="1803">
        <f t="shared" si="140"/>
        <v>5.88</v>
      </c>
      <c r="J1018" s="1795"/>
    </row>
    <row r="1019" spans="1:10" ht="24">
      <c r="A1019" s="1797"/>
      <c r="B1019" s="1798"/>
      <c r="C1019" s="1798">
        <v>546</v>
      </c>
      <c r="D1019" s="1799" t="s">
        <v>1384</v>
      </c>
      <c r="E1019" s="1813" t="s">
        <v>1383</v>
      </c>
      <c r="F1019" s="1814">
        <v>0.52500000000000002</v>
      </c>
      <c r="G1019" s="1806">
        <v>11.45</v>
      </c>
      <c r="H1019" s="1802">
        <f t="shared" si="139"/>
        <v>11.39</v>
      </c>
      <c r="I1019" s="1803">
        <f t="shared" si="140"/>
        <v>5.97</v>
      </c>
      <c r="J1019" s="1795"/>
    </row>
    <row r="1020" spans="1:10" ht="24">
      <c r="A1020" s="1797"/>
      <c r="B1020" s="1798"/>
      <c r="C1020" s="1798">
        <v>7307</v>
      </c>
      <c r="D1020" s="1799" t="s">
        <v>1385</v>
      </c>
      <c r="E1020" s="1813" t="s">
        <v>1386</v>
      </c>
      <c r="F1020" s="1814">
        <v>2.5000000000000001E-3</v>
      </c>
      <c r="G1020" s="1806">
        <v>42.25</v>
      </c>
      <c r="H1020" s="1802">
        <f t="shared" si="139"/>
        <v>42.03</v>
      </c>
      <c r="I1020" s="1803">
        <f t="shared" si="140"/>
        <v>0.1</v>
      </c>
      <c r="J1020" s="1795"/>
    </row>
    <row r="1021" spans="1:10" ht="24">
      <c r="A1021" s="1797"/>
      <c r="B1021" s="1798"/>
      <c r="C1021" s="1798">
        <v>10997</v>
      </c>
      <c r="D1021" s="1799" t="s">
        <v>1387</v>
      </c>
      <c r="E1021" s="1813" t="s">
        <v>1383</v>
      </c>
      <c r="F1021" s="1814">
        <v>1.2999999999999999E-2</v>
      </c>
      <c r="G1021" s="1806">
        <v>29.77</v>
      </c>
      <c r="H1021" s="1802">
        <f t="shared" si="139"/>
        <v>29.61</v>
      </c>
      <c r="I1021" s="1803">
        <f t="shared" si="140"/>
        <v>0.38</v>
      </c>
      <c r="J1021" s="1795"/>
    </row>
    <row r="1022" spans="1:10">
      <c r="A1022" s="1797"/>
      <c r="B1022" s="1798"/>
      <c r="C1022" s="1798">
        <v>5318</v>
      </c>
      <c r="D1022" s="1799" t="s">
        <v>2434</v>
      </c>
      <c r="E1022" s="1813" t="s">
        <v>1386</v>
      </c>
      <c r="F1022" s="1814">
        <v>2.9999999999999997E-4</v>
      </c>
      <c r="G1022" s="1806">
        <v>18</v>
      </c>
      <c r="H1022" s="1802">
        <f t="shared" si="139"/>
        <v>17.899999999999999</v>
      </c>
      <c r="I1022" s="1803">
        <f t="shared" si="140"/>
        <v>0</v>
      </c>
      <c r="J1022" s="1795"/>
    </row>
    <row r="1023" spans="1:10">
      <c r="A1023" s="1943" t="s">
        <v>2477</v>
      </c>
      <c r="B1023" s="1944"/>
      <c r="C1023" s="1944"/>
      <c r="D1023" s="1944"/>
      <c r="E1023" s="1944"/>
      <c r="F1023" s="1944"/>
      <c r="G1023" s="1944"/>
      <c r="H1023" s="1945"/>
      <c r="I1023" s="1805">
        <f>SUM(I1010:I1022)</f>
        <v>15.14</v>
      </c>
      <c r="J1023" s="1795"/>
    </row>
    <row r="1024" spans="1:10">
      <c r="A1024" s="1929"/>
      <c r="B1024" s="1930"/>
      <c r="C1024" s="1930"/>
      <c r="D1024" s="1930"/>
      <c r="E1024" s="1930"/>
      <c r="F1024" s="1930"/>
      <c r="G1024" s="1930"/>
      <c r="H1024" s="1930"/>
      <c r="I1024" s="1931"/>
      <c r="J1024" s="1795"/>
    </row>
    <row r="1025" spans="1:10" ht="25.5" customHeight="1">
      <c r="A1025" s="1784" t="str">
        <f>'PLANILHA SEM DESON'!B160</f>
        <v>COMP ESTR 06</v>
      </c>
      <c r="B1025" s="1940" t="str">
        <f>VLOOKUP(A1025,'PLANILHA SEM DESON'!$B$17:$D$1700,2,FALSE)</f>
        <v xml:space="preserve">MONTAGEM DE ESTRUTURA METÁLICA </v>
      </c>
      <c r="C1025" s="1941"/>
      <c r="D1025" s="1941"/>
      <c r="E1025" s="1941"/>
      <c r="F1025" s="1941"/>
      <c r="G1025" s="1941"/>
      <c r="H1025" s="1942"/>
      <c r="I1025" s="1785" t="str">
        <f>VLOOKUP(A1025,'PLANILHA SEM DESON'!$B$17:$D$1700,3,FALSE)</f>
        <v>Kg</v>
      </c>
      <c r="J1025" s="1786">
        <f>I1030</f>
        <v>3.19</v>
      </c>
    </row>
    <row r="1026" spans="1:10" ht="24">
      <c r="A1026" s="1788" t="s">
        <v>2470</v>
      </c>
      <c r="B1026" s="1789" t="s">
        <v>2471</v>
      </c>
      <c r="C1026" s="1790" t="s">
        <v>2468</v>
      </c>
      <c r="D1026" s="1791" t="s">
        <v>308</v>
      </c>
      <c r="E1026" s="1790" t="s">
        <v>202</v>
      </c>
      <c r="F1026" s="1792" t="s">
        <v>2472</v>
      </c>
      <c r="G1026" s="1790" t="s">
        <v>2473</v>
      </c>
      <c r="H1026" s="1793" t="s">
        <v>2474</v>
      </c>
      <c r="I1026" s="1794" t="s">
        <v>2475</v>
      </c>
      <c r="J1026" s="1795"/>
    </row>
    <row r="1027" spans="1:10" ht="24">
      <c r="A1027" s="1797"/>
      <c r="B1027" s="1798"/>
      <c r="C1027" s="1798">
        <v>88278</v>
      </c>
      <c r="D1027" s="1799" t="s">
        <v>1389</v>
      </c>
      <c r="E1027" s="1813" t="s">
        <v>411</v>
      </c>
      <c r="F1027" s="1814">
        <v>0.02</v>
      </c>
      <c r="G1027" s="1806">
        <v>17.66</v>
      </c>
      <c r="H1027" s="1802">
        <f>IF(E1027="H",G1027,TRUNC(G1027*(1-$K$7),2))</f>
        <v>17.66</v>
      </c>
      <c r="I1027" s="1803">
        <f t="shared" ref="I1027:I1029" si="142">TRUNC(H1027*F1027,2)</f>
        <v>0.35</v>
      </c>
      <c r="J1027" s="1795"/>
    </row>
    <row r="1028" spans="1:10" ht="24">
      <c r="A1028" s="1797"/>
      <c r="B1028" s="1798"/>
      <c r="C1028" s="1798">
        <v>88240</v>
      </c>
      <c r="D1028" s="1799" t="s">
        <v>1376</v>
      </c>
      <c r="E1028" s="1813" t="s">
        <v>411</v>
      </c>
      <c r="F1028" s="1814">
        <v>0.06</v>
      </c>
      <c r="G1028" s="1806">
        <v>14.26</v>
      </c>
      <c r="H1028" s="1802">
        <f>IF(E1028="H",G1028,TRUNC(G1028*(1-$K$7),2))</f>
        <v>14.26</v>
      </c>
      <c r="I1028" s="1803">
        <f t="shared" si="142"/>
        <v>0.85</v>
      </c>
      <c r="J1028" s="1795"/>
    </row>
    <row r="1029" spans="1:10" ht="48">
      <c r="A1029" s="1797"/>
      <c r="B1029" s="1798"/>
      <c r="C1029" s="1798">
        <v>89272</v>
      </c>
      <c r="D1029" s="1799" t="s">
        <v>1390</v>
      </c>
      <c r="E1029" s="1813" t="s">
        <v>456</v>
      </c>
      <c r="F1029" s="1814">
        <v>0.01</v>
      </c>
      <c r="G1029" s="1806">
        <v>200.88</v>
      </c>
      <c r="H1029" s="1802">
        <f>IF(E1029="H",G1029,TRUNC(G1029*(1-$K$7),2))</f>
        <v>199.85</v>
      </c>
      <c r="I1029" s="1803">
        <f t="shared" si="142"/>
        <v>1.99</v>
      </c>
      <c r="J1029" s="1795"/>
    </row>
    <row r="1030" spans="1:10">
      <c r="A1030" s="1943" t="s">
        <v>2477</v>
      </c>
      <c r="B1030" s="1944"/>
      <c r="C1030" s="1944"/>
      <c r="D1030" s="1944"/>
      <c r="E1030" s="1944"/>
      <c r="F1030" s="1944"/>
      <c r="G1030" s="1944"/>
      <c r="H1030" s="1945"/>
      <c r="I1030" s="1805">
        <f>SUM(I1027:I1029)</f>
        <v>3.19</v>
      </c>
      <c r="J1030" s="1795"/>
    </row>
    <row r="1031" spans="1:10">
      <c r="A1031" s="1929"/>
      <c r="B1031" s="1930"/>
      <c r="C1031" s="1930"/>
      <c r="D1031" s="1930"/>
      <c r="E1031" s="1930"/>
      <c r="F1031" s="1930"/>
      <c r="G1031" s="1930"/>
      <c r="H1031" s="1930"/>
      <c r="I1031" s="1931"/>
      <c r="J1031" s="1795"/>
    </row>
    <row r="1032" spans="1:10" ht="22.5" customHeight="1">
      <c r="A1032" s="1784" t="str">
        <f>'PLANILHA SEM DESON'!B161</f>
        <v>COMP ESTR 07</v>
      </c>
      <c r="B1032" s="1940" t="str">
        <f>VLOOKUP(A1032,'PLANILHA SEM DESON'!$B$17:$D$1700,2,FALSE)</f>
        <v>FORNECIMENTO E COLOCAÇÃO DE CHUMBADOR PARABOLT WALSYWA CBPL 14300 1/4" OU EQUIVALENTE</v>
      </c>
      <c r="C1032" s="1941"/>
      <c r="D1032" s="1941"/>
      <c r="E1032" s="1941"/>
      <c r="F1032" s="1941"/>
      <c r="G1032" s="1941"/>
      <c r="H1032" s="1942"/>
      <c r="I1032" s="1785" t="str">
        <f>VLOOKUP(A1032,'PLANILHA SEM DESON'!$B$17:$D$1700,3,FALSE)</f>
        <v xml:space="preserve">un </v>
      </c>
      <c r="J1032" s="1786">
        <f>I1037</f>
        <v>8.129999999999999</v>
      </c>
    </row>
    <row r="1033" spans="1:10" ht="24">
      <c r="A1033" s="1788" t="s">
        <v>2470</v>
      </c>
      <c r="B1033" s="1789" t="s">
        <v>2471</v>
      </c>
      <c r="C1033" s="1790" t="s">
        <v>2468</v>
      </c>
      <c r="D1033" s="1791" t="s">
        <v>308</v>
      </c>
      <c r="E1033" s="1790" t="s">
        <v>202</v>
      </c>
      <c r="F1033" s="1792" t="s">
        <v>2472</v>
      </c>
      <c r="G1033" s="1790" t="s">
        <v>2473</v>
      </c>
      <c r="H1033" s="1793" t="s">
        <v>2474</v>
      </c>
      <c r="I1033" s="1794" t="s">
        <v>2475</v>
      </c>
      <c r="J1033" s="1795"/>
    </row>
    <row r="1034" spans="1:10">
      <c r="A1034" s="1797"/>
      <c r="B1034" s="1798"/>
      <c r="C1034" s="1798">
        <v>88309</v>
      </c>
      <c r="D1034" s="1799" t="s">
        <v>103</v>
      </c>
      <c r="E1034" s="1813" t="s">
        <v>411</v>
      </c>
      <c r="F1034" s="1814">
        <v>0.15</v>
      </c>
      <c r="G1034" s="1806">
        <v>24.59</v>
      </c>
      <c r="H1034" s="1802">
        <f>IF(E1034="H",G1034,TRUNC(G1034*(1-$K$7),2))</f>
        <v>24.59</v>
      </c>
      <c r="I1034" s="1803">
        <f t="shared" ref="I1034:I1036" si="143">TRUNC(H1034*F1034,2)</f>
        <v>3.68</v>
      </c>
      <c r="J1034" s="1795"/>
    </row>
    <row r="1035" spans="1:10">
      <c r="A1035" s="1797"/>
      <c r="B1035" s="1798"/>
      <c r="C1035" s="1798">
        <v>88316</v>
      </c>
      <c r="D1035" s="1799" t="s">
        <v>66</v>
      </c>
      <c r="E1035" s="1813" t="s">
        <v>411</v>
      </c>
      <c r="F1035" s="1815">
        <v>0.15</v>
      </c>
      <c r="G1035" s="1801">
        <v>19.45</v>
      </c>
      <c r="H1035" s="1802">
        <f>IF(E1035="H",G1035,TRUNC(G1035*(1-$K$7),2))</f>
        <v>19.45</v>
      </c>
      <c r="I1035" s="1803">
        <f t="shared" si="143"/>
        <v>2.91</v>
      </c>
      <c r="J1035" s="1795"/>
    </row>
    <row r="1036" spans="1:10" ht="24">
      <c r="A1036" s="1797"/>
      <c r="B1036" s="1798"/>
      <c r="C1036" s="1798" t="s">
        <v>65</v>
      </c>
      <c r="D1036" s="1799" t="s">
        <v>1396</v>
      </c>
      <c r="E1036" s="1813" t="s">
        <v>1395</v>
      </c>
      <c r="F1036" s="1814">
        <v>1</v>
      </c>
      <c r="G1036" s="1806">
        <v>1.55</v>
      </c>
      <c r="H1036" s="1802">
        <f>IF(E1036="H",G1036,TRUNC(G1036*(1-$K$7),2))</f>
        <v>1.54</v>
      </c>
      <c r="I1036" s="1803">
        <f t="shared" si="143"/>
        <v>1.54</v>
      </c>
      <c r="J1036" s="1795"/>
    </row>
    <row r="1037" spans="1:10">
      <c r="A1037" s="1943" t="s">
        <v>2477</v>
      </c>
      <c r="B1037" s="1944"/>
      <c r="C1037" s="1944"/>
      <c r="D1037" s="1944"/>
      <c r="E1037" s="1944"/>
      <c r="F1037" s="1944"/>
      <c r="G1037" s="1944"/>
      <c r="H1037" s="1945"/>
      <c r="I1037" s="1805">
        <f>SUM(I1034:I1036)</f>
        <v>8.129999999999999</v>
      </c>
      <c r="J1037" s="1795"/>
    </row>
    <row r="1038" spans="1:10">
      <c r="A1038" s="1929"/>
      <c r="B1038" s="1930"/>
      <c r="C1038" s="1930"/>
      <c r="D1038" s="1930"/>
      <c r="E1038" s="1930"/>
      <c r="F1038" s="1930"/>
      <c r="G1038" s="1930"/>
      <c r="H1038" s="1930"/>
      <c r="I1038" s="1931"/>
      <c r="J1038" s="1795"/>
    </row>
    <row r="1039" spans="1:10" ht="24.75" customHeight="1">
      <c r="A1039" s="1784">
        <f>'PLANILHA SEM DESON'!B162</f>
        <v>100747</v>
      </c>
      <c r="B1039" s="1940" t="str">
        <f>VLOOKUP(A1039,'PLANILHA SEM DESON'!$B$17:$D$1700,2,FALSE)</f>
        <v>PINTURA COM TINTA ALQUÍDICA DE ACABAMENTO (ESMALTE SINTÉTICO FOSCO) PULVERIZADA SOBRE PERFIL METÁLICO EXECUTADO EM FÁBRICA (POR DEMÃO). AF_01/2020_P</v>
      </c>
      <c r="C1039" s="1941"/>
      <c r="D1039" s="1941"/>
      <c r="E1039" s="1941"/>
      <c r="F1039" s="1941"/>
      <c r="G1039" s="1941"/>
      <c r="H1039" s="1942"/>
      <c r="I1039" s="1785" t="str">
        <f>VLOOKUP(A1039,'PLANILHA SEM DESON'!$B$17:$D$1700,3,FALSE)</f>
        <v>m²</v>
      </c>
      <c r="J1039" s="1786">
        <f>I1044</f>
        <v>10.34</v>
      </c>
    </row>
    <row r="1040" spans="1:10" ht="24">
      <c r="A1040" s="1788" t="s">
        <v>2470</v>
      </c>
      <c r="B1040" s="1789" t="s">
        <v>2471</v>
      </c>
      <c r="C1040" s="1790" t="s">
        <v>2468</v>
      </c>
      <c r="D1040" s="1791" t="s">
        <v>308</v>
      </c>
      <c r="E1040" s="1790" t="s">
        <v>202</v>
      </c>
      <c r="F1040" s="1792" t="s">
        <v>2472</v>
      </c>
      <c r="G1040" s="1790" t="s">
        <v>2473</v>
      </c>
      <c r="H1040" s="1793" t="s">
        <v>2474</v>
      </c>
      <c r="I1040" s="1794" t="s">
        <v>2475</v>
      </c>
      <c r="J1040" s="1795"/>
    </row>
    <row r="1041" spans="1:10">
      <c r="A1041" s="1797"/>
      <c r="B1041" s="1798" t="s">
        <v>2479</v>
      </c>
      <c r="C1041" s="1798">
        <v>5318</v>
      </c>
      <c r="D1041" s="1799" t="s">
        <v>2686</v>
      </c>
      <c r="E1041" s="1800" t="s">
        <v>455</v>
      </c>
      <c r="F1041" s="1807">
        <v>5.8400000000000001E-2</v>
      </c>
      <c r="G1041" s="1801">
        <v>18</v>
      </c>
      <c r="H1041" s="1802">
        <f>IF(E1041="H",G1041,TRUNC(G1041*(1-$K$7),2))</f>
        <v>17.899999999999999</v>
      </c>
      <c r="I1041" s="1803">
        <f t="shared" ref="I1041:I1043" si="144">TRUNC(H1041*F1041,2)</f>
        <v>1.04</v>
      </c>
      <c r="J1041" s="1795"/>
    </row>
    <row r="1042" spans="1:10">
      <c r="A1042" s="1797"/>
      <c r="B1042" s="1798" t="s">
        <v>2479</v>
      </c>
      <c r="C1042" s="1798">
        <v>7288</v>
      </c>
      <c r="D1042" s="1799" t="s">
        <v>2687</v>
      </c>
      <c r="E1042" s="1800" t="s">
        <v>455</v>
      </c>
      <c r="F1042" s="1807">
        <v>0.19450000000000001</v>
      </c>
      <c r="G1042" s="1801">
        <v>39.71</v>
      </c>
      <c r="H1042" s="1802">
        <f>IF(E1042="H",G1042,TRUNC(G1042*(1-$K$7),2))</f>
        <v>39.5</v>
      </c>
      <c r="I1042" s="1803">
        <f t="shared" si="144"/>
        <v>7.68</v>
      </c>
      <c r="J1042" s="1795"/>
    </row>
    <row r="1043" spans="1:10">
      <c r="A1043" s="1797"/>
      <c r="B1043" s="1798" t="s">
        <v>7</v>
      </c>
      <c r="C1043" s="1798">
        <v>88310</v>
      </c>
      <c r="D1043" s="1799" t="s">
        <v>127</v>
      </c>
      <c r="E1043" s="1800" t="s">
        <v>411</v>
      </c>
      <c r="F1043" s="1807">
        <v>6.3500000000000001E-2</v>
      </c>
      <c r="G1043" s="1801">
        <v>25.64</v>
      </c>
      <c r="H1043" s="1802">
        <f>IF(E1043="H",G1043,TRUNC(G1043*(1-$K$7),2))</f>
        <v>25.64</v>
      </c>
      <c r="I1043" s="1803">
        <f t="shared" si="144"/>
        <v>1.62</v>
      </c>
      <c r="J1043" s="1795"/>
    </row>
    <row r="1044" spans="1:10">
      <c r="A1044" s="1943" t="s">
        <v>2477</v>
      </c>
      <c r="B1044" s="1944"/>
      <c r="C1044" s="1944"/>
      <c r="D1044" s="1944"/>
      <c r="E1044" s="1944"/>
      <c r="F1044" s="1944"/>
      <c r="G1044" s="1944"/>
      <c r="H1044" s="1945"/>
      <c r="I1044" s="1805">
        <f>SUM(I1041:I1043)</f>
        <v>10.34</v>
      </c>
      <c r="J1044" s="1795"/>
    </row>
    <row r="1045" spans="1:10">
      <c r="A1045" s="1929"/>
      <c r="B1045" s="1930"/>
      <c r="C1045" s="1930"/>
      <c r="D1045" s="1930"/>
      <c r="E1045" s="1930"/>
      <c r="F1045" s="1930"/>
      <c r="G1045" s="1930"/>
      <c r="H1045" s="1930"/>
      <c r="I1045" s="1931"/>
      <c r="J1045" s="1795"/>
    </row>
    <row r="1046" spans="1:10" ht="37.5" customHeight="1">
      <c r="A1046" s="1784" t="str">
        <f>'PLANILHA SEM DESON'!B165</f>
        <v>COMP 32</v>
      </c>
      <c r="B1046" s="1940" t="str">
        <f>VLOOKUP(A1046,'PLANILHA SEM DESON'!$B$17:$D$1700,2,FALSE)</f>
        <v>TELHAMENTO COM TELHA ISOLANTE COM NUCLEO EM POLIESTIRENO (EPS), E = 30 MM,REVESTIDA EM ACO ZINCADO *0,5* MM COM PRE-PINTURA NAS DUAS FACES, FACE SUPERIOR EM TELHA TRAPEZOIDAL E FACE INFERIOR EM CHAPA PLANA</v>
      </c>
      <c r="C1046" s="1941"/>
      <c r="D1046" s="1941"/>
      <c r="E1046" s="1941"/>
      <c r="F1046" s="1941"/>
      <c r="G1046" s="1941"/>
      <c r="H1046" s="1942"/>
      <c r="I1046" s="1785" t="str">
        <f>VLOOKUP(A1046,'PLANILHA SEM DESON'!$B$17:$D$1700,3,FALSE)</f>
        <v>m²</v>
      </c>
      <c r="J1046" s="1786">
        <f>I1054</f>
        <v>168.92</v>
      </c>
    </row>
    <row r="1047" spans="1:10" ht="24">
      <c r="A1047" s="1788" t="s">
        <v>2470</v>
      </c>
      <c r="B1047" s="1789" t="s">
        <v>2471</v>
      </c>
      <c r="C1047" s="1790" t="s">
        <v>2468</v>
      </c>
      <c r="D1047" s="1791" t="s">
        <v>308</v>
      </c>
      <c r="E1047" s="1790" t="s">
        <v>202</v>
      </c>
      <c r="F1047" s="1792" t="s">
        <v>2472</v>
      </c>
      <c r="G1047" s="1790" t="s">
        <v>2473</v>
      </c>
      <c r="H1047" s="1793" t="s">
        <v>2474</v>
      </c>
      <c r="I1047" s="1794" t="s">
        <v>2475</v>
      </c>
      <c r="J1047" s="1795"/>
    </row>
    <row r="1048" spans="1:10">
      <c r="A1048" s="1797"/>
      <c r="B1048" s="1798"/>
      <c r="C1048" s="1798">
        <v>88316</v>
      </c>
      <c r="D1048" s="1799" t="s">
        <v>66</v>
      </c>
      <c r="E1048" s="1800" t="s">
        <v>57</v>
      </c>
      <c r="F1048" s="1811">
        <v>6.2E-2</v>
      </c>
      <c r="G1048" s="1808">
        <v>19.45</v>
      </c>
      <c r="H1048" s="1802">
        <f t="shared" ref="H1048:H1053" si="145">IF(E1048="H",G1048,TRUNC(G1048*(1-$K$7),2))</f>
        <v>19.45</v>
      </c>
      <c r="I1048" s="1803">
        <f t="shared" ref="I1048:I1053" si="146">TRUNC(H1048*F1048,2)</f>
        <v>1.2</v>
      </c>
      <c r="J1048" s="1795"/>
    </row>
    <row r="1049" spans="1:10">
      <c r="A1049" s="1797"/>
      <c r="B1049" s="1798"/>
      <c r="C1049" s="1798">
        <v>88323</v>
      </c>
      <c r="D1049" s="1799" t="s">
        <v>572</v>
      </c>
      <c r="E1049" s="1800" t="s">
        <v>57</v>
      </c>
      <c r="F1049" s="1811">
        <v>5.6000000000000001E-2</v>
      </c>
      <c r="G1049" s="1808">
        <v>24.07</v>
      </c>
      <c r="H1049" s="1802">
        <f t="shared" si="145"/>
        <v>24.07</v>
      </c>
      <c r="I1049" s="1803">
        <f t="shared" si="146"/>
        <v>1.34</v>
      </c>
      <c r="J1049" s="1795"/>
    </row>
    <row r="1050" spans="1:10" ht="36">
      <c r="A1050" s="1797"/>
      <c r="B1050" s="1798"/>
      <c r="C1050" s="1798">
        <v>11029</v>
      </c>
      <c r="D1050" s="1799" t="s">
        <v>573</v>
      </c>
      <c r="E1050" s="1800" t="s">
        <v>574</v>
      </c>
      <c r="F1050" s="1811">
        <v>4.1500000000000004</v>
      </c>
      <c r="G1050" s="1806">
        <v>1.96</v>
      </c>
      <c r="H1050" s="1802">
        <f t="shared" si="145"/>
        <v>1.95</v>
      </c>
      <c r="I1050" s="1803">
        <f t="shared" si="146"/>
        <v>8.09</v>
      </c>
      <c r="J1050" s="1795"/>
    </row>
    <row r="1051" spans="1:10" ht="36">
      <c r="A1051" s="1797"/>
      <c r="B1051" s="1798"/>
      <c r="C1051" s="1798">
        <v>93281</v>
      </c>
      <c r="D1051" s="1799" t="s">
        <v>575</v>
      </c>
      <c r="E1051" s="1800" t="s">
        <v>456</v>
      </c>
      <c r="F1051" s="1809">
        <v>8.9999999999999998E-4</v>
      </c>
      <c r="G1051" s="1806">
        <v>19.510000000000002</v>
      </c>
      <c r="H1051" s="1802">
        <f t="shared" si="145"/>
        <v>19.41</v>
      </c>
      <c r="I1051" s="1803">
        <f t="shared" si="146"/>
        <v>0.01</v>
      </c>
      <c r="J1051" s="1795"/>
    </row>
    <row r="1052" spans="1:10" ht="36">
      <c r="A1052" s="1797"/>
      <c r="B1052" s="1798"/>
      <c r="C1052" s="1798">
        <v>93282</v>
      </c>
      <c r="D1052" s="1799" t="s">
        <v>576</v>
      </c>
      <c r="E1052" s="1800" t="s">
        <v>577</v>
      </c>
      <c r="F1052" s="1809">
        <v>1.1999999999999999E-3</v>
      </c>
      <c r="G1052" s="1806">
        <v>18.32</v>
      </c>
      <c r="H1052" s="1802">
        <f t="shared" si="145"/>
        <v>18.22</v>
      </c>
      <c r="I1052" s="1803">
        <f t="shared" si="146"/>
        <v>0.02</v>
      </c>
      <c r="J1052" s="1795"/>
    </row>
    <row r="1053" spans="1:10" ht="60">
      <c r="A1053" s="1797"/>
      <c r="B1053" s="1798"/>
      <c r="C1053" s="1798">
        <v>39520</v>
      </c>
      <c r="D1053" s="1799" t="s">
        <v>158</v>
      </c>
      <c r="E1053" s="1800" t="s">
        <v>46</v>
      </c>
      <c r="F1053" s="1811">
        <v>1.1399999999999999</v>
      </c>
      <c r="G1053" s="1806">
        <v>139.55000000000001</v>
      </c>
      <c r="H1053" s="1802">
        <f t="shared" si="145"/>
        <v>138.83000000000001</v>
      </c>
      <c r="I1053" s="1803">
        <f t="shared" si="146"/>
        <v>158.26</v>
      </c>
      <c r="J1053" s="1795"/>
    </row>
    <row r="1054" spans="1:10">
      <c r="A1054" s="1943" t="s">
        <v>2477</v>
      </c>
      <c r="B1054" s="1944"/>
      <c r="C1054" s="1944"/>
      <c r="D1054" s="1944"/>
      <c r="E1054" s="1944"/>
      <c r="F1054" s="1944"/>
      <c r="G1054" s="1944"/>
      <c r="H1054" s="1945"/>
      <c r="I1054" s="1805">
        <f>SUM(I1048:I1053)</f>
        <v>168.92</v>
      </c>
      <c r="J1054" s="1795"/>
    </row>
    <row r="1055" spans="1:10">
      <c r="A1055" s="1929"/>
      <c r="B1055" s="1930"/>
      <c r="C1055" s="1930"/>
      <c r="D1055" s="1930"/>
      <c r="E1055" s="1930"/>
      <c r="F1055" s="1930"/>
      <c r="G1055" s="1930"/>
      <c r="H1055" s="1930"/>
      <c r="I1055" s="1931"/>
      <c r="J1055" s="1795"/>
    </row>
    <row r="1056" spans="1:10" ht="24.75" customHeight="1">
      <c r="A1056" s="1784">
        <f>'PLANILHA SEM DESON'!B169</f>
        <v>101880</v>
      </c>
      <c r="B1056" s="1940" t="str">
        <f>VLOOKUP(A1056,'PLANILHA SEM DESON'!$B$17:$D$1700,2,FALSE)</f>
        <v>QUADRO DE DISTRIBUIÇÃO DE ENERGIA EM CHAPA DE AÇO GALVANIZADO, DE EMBUTIR, COM BARRAMENTO TRIFÁSICO, PARA 30 DISJUNTORES DIN 150A - FORNECIMENTO E INSTALAÇÃO. AF_10/2020</v>
      </c>
      <c r="C1056" s="1941"/>
      <c r="D1056" s="1941"/>
      <c r="E1056" s="1941"/>
      <c r="F1056" s="1941"/>
      <c r="G1056" s="1941"/>
      <c r="H1056" s="1942"/>
      <c r="I1056" s="1785" t="str">
        <f>VLOOKUP(A1056,'PLANILHA SEM DESON'!$B$17:$D$1700,3,FALSE)</f>
        <v xml:space="preserve">un </v>
      </c>
      <c r="J1056" s="1786">
        <f>I1062</f>
        <v>831.13999999999987</v>
      </c>
    </row>
    <row r="1057" spans="1:10" ht="24">
      <c r="A1057" s="1788" t="s">
        <v>2470</v>
      </c>
      <c r="B1057" s="1789" t="s">
        <v>2471</v>
      </c>
      <c r="C1057" s="1790" t="s">
        <v>2468</v>
      </c>
      <c r="D1057" s="1791" t="s">
        <v>308</v>
      </c>
      <c r="E1057" s="1790" t="s">
        <v>202</v>
      </c>
      <c r="F1057" s="1792" t="s">
        <v>2472</v>
      </c>
      <c r="G1057" s="1790" t="s">
        <v>2473</v>
      </c>
      <c r="H1057" s="1793" t="s">
        <v>2474</v>
      </c>
      <c r="I1057" s="1794" t="s">
        <v>2475</v>
      </c>
      <c r="J1057" s="1795"/>
    </row>
    <row r="1058" spans="1:10" ht="36">
      <c r="A1058" s="1797" t="s">
        <v>2476</v>
      </c>
      <c r="B1058" s="1798" t="s">
        <v>2479</v>
      </c>
      <c r="C1058" s="1798">
        <v>12041</v>
      </c>
      <c r="D1058" s="1799" t="s">
        <v>2688</v>
      </c>
      <c r="E1058" s="1800" t="s">
        <v>2501</v>
      </c>
      <c r="F1058" s="1807">
        <v>1</v>
      </c>
      <c r="G1058" s="1801">
        <v>791.95</v>
      </c>
      <c r="H1058" s="1802">
        <f>IF(E1058="H",G1058,TRUNC(G1058*(1-$K$7),2))</f>
        <v>787.91</v>
      </c>
      <c r="I1058" s="1803">
        <f t="shared" ref="I1058:I1061" si="147">TRUNC(H1058*F1058,2)</f>
        <v>787.91</v>
      </c>
      <c r="J1058" s="1795"/>
    </row>
    <row r="1059" spans="1:10" ht="48">
      <c r="A1059" s="1797" t="s">
        <v>2476</v>
      </c>
      <c r="B1059" s="1798" t="s">
        <v>7</v>
      </c>
      <c r="C1059" s="1798">
        <v>87367</v>
      </c>
      <c r="D1059" s="1799" t="s">
        <v>2689</v>
      </c>
      <c r="E1059" s="1800" t="s">
        <v>1171</v>
      </c>
      <c r="F1059" s="1807">
        <v>1.9199999999999998E-2</v>
      </c>
      <c r="G1059" s="1801">
        <v>720.17</v>
      </c>
      <c r="H1059" s="1802">
        <f>IF(E1059="H",G1059,TRUNC(G1059*(1-$K$7),2))</f>
        <v>716.49</v>
      </c>
      <c r="I1059" s="1803">
        <f t="shared" si="147"/>
        <v>13.75</v>
      </c>
      <c r="J1059" s="1795"/>
    </row>
    <row r="1060" spans="1:10" ht="24">
      <c r="A1060" s="1797" t="s">
        <v>2476</v>
      </c>
      <c r="B1060" s="1798" t="s">
        <v>7</v>
      </c>
      <c r="C1060" s="1798">
        <v>88247</v>
      </c>
      <c r="D1060" s="1799" t="s">
        <v>93</v>
      </c>
      <c r="E1060" s="1800" t="s">
        <v>411</v>
      </c>
      <c r="F1060" s="1807">
        <v>0.63370000000000004</v>
      </c>
      <c r="G1060" s="1801">
        <v>21</v>
      </c>
      <c r="H1060" s="1802">
        <f>IF(E1060="H",G1060,TRUNC(G1060*(1-$K$7),2))</f>
        <v>21</v>
      </c>
      <c r="I1060" s="1803">
        <f t="shared" si="147"/>
        <v>13.3</v>
      </c>
      <c r="J1060" s="1795"/>
    </row>
    <row r="1061" spans="1:10">
      <c r="A1061" s="1797" t="s">
        <v>2476</v>
      </c>
      <c r="B1061" s="1798" t="s">
        <v>7</v>
      </c>
      <c r="C1061" s="1798">
        <v>88264</v>
      </c>
      <c r="D1061" s="1799" t="s">
        <v>94</v>
      </c>
      <c r="E1061" s="1800" t="s">
        <v>411</v>
      </c>
      <c r="F1061" s="1807">
        <v>0.63370000000000004</v>
      </c>
      <c r="G1061" s="1801">
        <v>25.54</v>
      </c>
      <c r="H1061" s="1802">
        <f>IF(E1061="H",G1061,TRUNC(G1061*(1-$K$7),2))</f>
        <v>25.54</v>
      </c>
      <c r="I1061" s="1803">
        <f t="shared" si="147"/>
        <v>16.18</v>
      </c>
      <c r="J1061" s="1795"/>
    </row>
    <row r="1062" spans="1:10">
      <c r="A1062" s="1943" t="s">
        <v>2477</v>
      </c>
      <c r="B1062" s="1944"/>
      <c r="C1062" s="1944"/>
      <c r="D1062" s="1944"/>
      <c r="E1062" s="1944"/>
      <c r="F1062" s="1944"/>
      <c r="G1062" s="1944"/>
      <c r="H1062" s="1945"/>
      <c r="I1062" s="1805">
        <f>SUM(I1058:I1061)</f>
        <v>831.13999999999987</v>
      </c>
      <c r="J1062" s="1795"/>
    </row>
    <row r="1063" spans="1:10">
      <c r="A1063" s="1929"/>
      <c r="B1063" s="1930"/>
      <c r="C1063" s="1930"/>
      <c r="D1063" s="1930"/>
      <c r="E1063" s="1930"/>
      <c r="F1063" s="1930"/>
      <c r="G1063" s="1930"/>
      <c r="H1063" s="1930"/>
      <c r="I1063" s="1931"/>
      <c r="J1063" s="1795"/>
    </row>
    <row r="1064" spans="1:10" ht="27.75" customHeight="1">
      <c r="A1064" s="1784" t="str">
        <f>'PLANILHA SEM DESON'!B170</f>
        <v>COMP ELE 20</v>
      </c>
      <c r="B1064" s="1940" t="str">
        <f>VLOOKUP(A1064,'PLANILHA SEM DESON'!$B$17:$D$1700,2,FALSE)</f>
        <v>CAIXA PARA MEDIÇÃO DIRETA PADRÃO ENERGISA (1.00 x 0.60 x 0.20 m) EM CHAPA DE ALUMÍNIO 2mm</v>
      </c>
      <c r="C1064" s="1941"/>
      <c r="D1064" s="1941"/>
      <c r="E1064" s="1941"/>
      <c r="F1064" s="1941"/>
      <c r="G1064" s="1941"/>
      <c r="H1064" s="1942"/>
      <c r="I1064" s="1785" t="str">
        <f>VLOOKUP(A1064,'PLANILHA SEM DESON'!$B$17:$D$1700,3,FALSE)</f>
        <v xml:space="preserve">un </v>
      </c>
      <c r="J1064" s="1786">
        <f>I1070</f>
        <v>535.33999999999992</v>
      </c>
    </row>
    <row r="1065" spans="1:10" ht="24">
      <c r="A1065" s="1788" t="s">
        <v>2470</v>
      </c>
      <c r="B1065" s="1789" t="s">
        <v>2471</v>
      </c>
      <c r="C1065" s="1790" t="s">
        <v>2468</v>
      </c>
      <c r="D1065" s="1791" t="s">
        <v>308</v>
      </c>
      <c r="E1065" s="1790" t="s">
        <v>202</v>
      </c>
      <c r="F1065" s="1792" t="s">
        <v>2472</v>
      </c>
      <c r="G1065" s="1790" t="s">
        <v>2473</v>
      </c>
      <c r="H1065" s="1793" t="s">
        <v>2474</v>
      </c>
      <c r="I1065" s="1794" t="s">
        <v>2475</v>
      </c>
      <c r="J1065" s="1795"/>
    </row>
    <row r="1066" spans="1:10">
      <c r="A1066" s="1797"/>
      <c r="B1066" s="1798"/>
      <c r="C1066" s="1798">
        <v>88264</v>
      </c>
      <c r="D1066" s="1799" t="s">
        <v>94</v>
      </c>
      <c r="E1066" s="1800" t="s">
        <v>57</v>
      </c>
      <c r="F1066" s="1811">
        <v>4</v>
      </c>
      <c r="G1066" s="1806">
        <v>25.54</v>
      </c>
      <c r="H1066" s="1802">
        <f>IF(E1066="H",G1066,TRUNC(G1066*(1-$K$7),2))</f>
        <v>25.54</v>
      </c>
      <c r="I1066" s="1803">
        <f t="shared" ref="I1066:I1069" si="148">TRUNC(H1066*F1066,2)</f>
        <v>102.16</v>
      </c>
      <c r="J1066" s="1795"/>
    </row>
    <row r="1067" spans="1:10" ht="24">
      <c r="A1067" s="1797"/>
      <c r="B1067" s="1798"/>
      <c r="C1067" s="1798">
        <v>88247</v>
      </c>
      <c r="D1067" s="1799" t="s">
        <v>93</v>
      </c>
      <c r="E1067" s="1800" t="s">
        <v>57</v>
      </c>
      <c r="F1067" s="1811">
        <v>4</v>
      </c>
      <c r="G1067" s="1806">
        <v>21</v>
      </c>
      <c r="H1067" s="1802">
        <f>IF(E1067="H",G1067,TRUNC(G1067*(1-$K$7),2))</f>
        <v>21</v>
      </c>
      <c r="I1067" s="1803">
        <f t="shared" si="148"/>
        <v>84</v>
      </c>
      <c r="J1067" s="1795"/>
    </row>
    <row r="1068" spans="1:10" ht="48">
      <c r="A1068" s="1797"/>
      <c r="B1068" s="1798"/>
      <c r="C1068" s="1798">
        <v>43093</v>
      </c>
      <c r="D1068" s="1799" t="s">
        <v>1584</v>
      </c>
      <c r="E1068" s="1800" t="s">
        <v>55</v>
      </c>
      <c r="F1068" s="1811">
        <v>1</v>
      </c>
      <c r="G1068" s="1806">
        <v>284.08</v>
      </c>
      <c r="H1068" s="1802">
        <f>IF(E1068="H",G1068,TRUNC(G1068*(1-$K$7),2))</f>
        <v>282.63</v>
      </c>
      <c r="I1068" s="1803">
        <f t="shared" si="148"/>
        <v>282.63</v>
      </c>
      <c r="J1068" s="1795"/>
    </row>
    <row r="1069" spans="1:10" ht="36">
      <c r="A1069" s="1797"/>
      <c r="B1069" s="1798"/>
      <c r="C1069" s="1798">
        <v>3380</v>
      </c>
      <c r="D1069" s="1799" t="s">
        <v>2200</v>
      </c>
      <c r="E1069" s="1800" t="s">
        <v>55</v>
      </c>
      <c r="F1069" s="1811">
        <v>1</v>
      </c>
      <c r="G1069" s="1806">
        <v>66.900000000000006</v>
      </c>
      <c r="H1069" s="1802">
        <f>IF(E1069="H",G1069,TRUNC(G1069*(1-$K$7),2))</f>
        <v>66.55</v>
      </c>
      <c r="I1069" s="1803">
        <f t="shared" si="148"/>
        <v>66.55</v>
      </c>
      <c r="J1069" s="1795"/>
    </row>
    <row r="1070" spans="1:10">
      <c r="A1070" s="1943" t="s">
        <v>2477</v>
      </c>
      <c r="B1070" s="1944"/>
      <c r="C1070" s="1944"/>
      <c r="D1070" s="1944"/>
      <c r="E1070" s="1944"/>
      <c r="F1070" s="1944"/>
      <c r="G1070" s="1944"/>
      <c r="H1070" s="1945"/>
      <c r="I1070" s="1805">
        <f>SUM(I1066:I1069)</f>
        <v>535.33999999999992</v>
      </c>
      <c r="J1070" s="1795"/>
    </row>
    <row r="1071" spans="1:10">
      <c r="A1071" s="1929"/>
      <c r="B1071" s="1930"/>
      <c r="C1071" s="1930"/>
      <c r="D1071" s="1930"/>
      <c r="E1071" s="1930"/>
      <c r="F1071" s="1930"/>
      <c r="G1071" s="1930"/>
      <c r="H1071" s="1930"/>
      <c r="I1071" s="1931"/>
      <c r="J1071" s="1795"/>
    </row>
    <row r="1072" spans="1:10" ht="24.75" customHeight="1">
      <c r="A1072" s="1784">
        <f>'PLANILHA SEM DESON'!B171</f>
        <v>91935</v>
      </c>
      <c r="B1072" s="1940" t="str">
        <f>VLOOKUP(A1072,'PLANILHA SEM DESON'!$B$17:$D$1700,2,FALSE)</f>
        <v>CABO DE COBRE FLEXÍVEL ISOLADO, 16 MM², ANTI-CHAMA 0,6/1,0 KV, PARA CIRCUITOS TERMINAIS - FORNECIMENTO E INSTALAÇÃO. AF_12/2015</v>
      </c>
      <c r="C1072" s="1941"/>
      <c r="D1072" s="1941"/>
      <c r="E1072" s="1941"/>
      <c r="F1072" s="1941"/>
      <c r="G1072" s="1941"/>
      <c r="H1072" s="1942"/>
      <c r="I1072" s="1785" t="str">
        <f>VLOOKUP(A1072,'PLANILHA SEM DESON'!$B$17:$D$1700,3,FALSE)</f>
        <v>m</v>
      </c>
      <c r="J1072" s="1786">
        <f>I1078</f>
        <v>22.94</v>
      </c>
    </row>
    <row r="1073" spans="1:10" ht="24">
      <c r="A1073" s="1788" t="s">
        <v>2470</v>
      </c>
      <c r="B1073" s="1789" t="s">
        <v>2471</v>
      </c>
      <c r="C1073" s="1790" t="s">
        <v>2468</v>
      </c>
      <c r="D1073" s="1791" t="s">
        <v>308</v>
      </c>
      <c r="E1073" s="1790" t="s">
        <v>202</v>
      </c>
      <c r="F1073" s="1792" t="s">
        <v>2472</v>
      </c>
      <c r="G1073" s="1790" t="s">
        <v>2473</v>
      </c>
      <c r="H1073" s="1793" t="s">
        <v>2474</v>
      </c>
      <c r="I1073" s="1794" t="s">
        <v>2475</v>
      </c>
      <c r="J1073" s="1795"/>
    </row>
    <row r="1074" spans="1:10" ht="48">
      <c r="A1074" s="1797" t="s">
        <v>2476</v>
      </c>
      <c r="B1074" s="1798" t="s">
        <v>2479</v>
      </c>
      <c r="C1074" s="1798">
        <v>995</v>
      </c>
      <c r="D1074" s="1799" t="s">
        <v>2690</v>
      </c>
      <c r="E1074" s="1800" t="s">
        <v>160</v>
      </c>
      <c r="F1074" s="1807">
        <v>1.19</v>
      </c>
      <c r="G1074" s="1801">
        <v>14.85</v>
      </c>
      <c r="H1074" s="1802">
        <f>IF(E1074="H",G1074,TRUNC(G1074*(1-$K$7),2))</f>
        <v>14.77</v>
      </c>
      <c r="I1074" s="1803">
        <f t="shared" ref="I1074:I1077" si="149">TRUNC(H1074*F1074,2)</f>
        <v>17.57</v>
      </c>
      <c r="J1074" s="1795"/>
    </row>
    <row r="1075" spans="1:10" ht="24">
      <c r="A1075" s="1797" t="s">
        <v>2476</v>
      </c>
      <c r="B1075" s="1798" t="s">
        <v>2479</v>
      </c>
      <c r="C1075" s="1798">
        <v>21127</v>
      </c>
      <c r="D1075" s="1799" t="s">
        <v>2691</v>
      </c>
      <c r="E1075" s="1800" t="s">
        <v>2501</v>
      </c>
      <c r="F1075" s="1807">
        <v>8.9999999999999993E-3</v>
      </c>
      <c r="G1075" s="1801">
        <v>4.0599999999999996</v>
      </c>
      <c r="H1075" s="1802">
        <f>IF(E1075="H",G1075,TRUNC(G1075*(1-$K$7),2))</f>
        <v>4.03</v>
      </c>
      <c r="I1075" s="1803">
        <f t="shared" si="149"/>
        <v>0.03</v>
      </c>
      <c r="J1075" s="1795"/>
    </row>
    <row r="1076" spans="1:10" ht="24">
      <c r="A1076" s="1797" t="s">
        <v>2476</v>
      </c>
      <c r="B1076" s="1798" t="s">
        <v>7</v>
      </c>
      <c r="C1076" s="1798">
        <v>88247</v>
      </c>
      <c r="D1076" s="1799" t="s">
        <v>93</v>
      </c>
      <c r="E1076" s="1800" t="s">
        <v>411</v>
      </c>
      <c r="F1076" s="1807">
        <v>0.115</v>
      </c>
      <c r="G1076" s="1801">
        <v>21</v>
      </c>
      <c r="H1076" s="1802">
        <f>IF(E1076="H",G1076,TRUNC(G1076*(1-$K$7),2))</f>
        <v>21</v>
      </c>
      <c r="I1076" s="1803">
        <f t="shared" si="149"/>
        <v>2.41</v>
      </c>
      <c r="J1076" s="1795"/>
    </row>
    <row r="1077" spans="1:10">
      <c r="A1077" s="1797" t="s">
        <v>2476</v>
      </c>
      <c r="B1077" s="1798" t="s">
        <v>7</v>
      </c>
      <c r="C1077" s="1798">
        <v>88264</v>
      </c>
      <c r="D1077" s="1799" t="s">
        <v>94</v>
      </c>
      <c r="E1077" s="1800" t="s">
        <v>411</v>
      </c>
      <c r="F1077" s="1807">
        <v>0.115</v>
      </c>
      <c r="G1077" s="1801">
        <v>25.54</v>
      </c>
      <c r="H1077" s="1802">
        <f>IF(E1077="H",G1077,TRUNC(G1077*(1-$K$7),2))</f>
        <v>25.54</v>
      </c>
      <c r="I1077" s="1803">
        <f t="shared" si="149"/>
        <v>2.93</v>
      </c>
      <c r="J1077" s="1795"/>
    </row>
    <row r="1078" spans="1:10">
      <c r="A1078" s="1943" t="s">
        <v>2477</v>
      </c>
      <c r="B1078" s="1944"/>
      <c r="C1078" s="1944"/>
      <c r="D1078" s="1944"/>
      <c r="E1078" s="1944"/>
      <c r="F1078" s="1944"/>
      <c r="G1078" s="1944"/>
      <c r="H1078" s="1945"/>
      <c r="I1078" s="1805">
        <f>SUM(I1074:I1077)</f>
        <v>22.94</v>
      </c>
      <c r="J1078" s="1795"/>
    </row>
    <row r="1079" spans="1:10">
      <c r="A1079" s="1929"/>
      <c r="B1079" s="1930"/>
      <c r="C1079" s="1930"/>
      <c r="D1079" s="1930"/>
      <c r="E1079" s="1930"/>
      <c r="F1079" s="1930"/>
      <c r="G1079" s="1930"/>
      <c r="H1079" s="1930"/>
      <c r="I1079" s="1931"/>
      <c r="J1079" s="1795"/>
    </row>
    <row r="1080" spans="1:10" ht="24" customHeight="1">
      <c r="A1080" s="1784">
        <f>'PLANILHA SEM DESON'!B172</f>
        <v>92984</v>
      </c>
      <c r="B1080" s="1940" t="str">
        <f>VLOOKUP(A1080,'PLANILHA SEM DESON'!$B$17:$D$1700,2,FALSE)</f>
        <v>CABO DE COBRE FLEXÍVEL ISOLADO, 25 MM², ANTI-CHAMA 0,6/1,0 KV, PARA REDE ENTERRADA DE DISTRIBUIÇÃO DE ENERGIA ELÉTRICA - FORNECIMENTO E INSTALAÇÃO. AF_12/2021</v>
      </c>
      <c r="C1080" s="1941"/>
      <c r="D1080" s="1941"/>
      <c r="E1080" s="1941"/>
      <c r="F1080" s="1941"/>
      <c r="G1080" s="1941"/>
      <c r="H1080" s="1942"/>
      <c r="I1080" s="1785" t="str">
        <f>VLOOKUP(A1080,'PLANILHA SEM DESON'!$B$17:$D$1700,3,FALSE)</f>
        <v>m</v>
      </c>
      <c r="J1080" s="1786">
        <f>I1086</f>
        <v>26.1</v>
      </c>
    </row>
    <row r="1081" spans="1:10" ht="24">
      <c r="A1081" s="1788" t="s">
        <v>2470</v>
      </c>
      <c r="B1081" s="1789" t="s">
        <v>2471</v>
      </c>
      <c r="C1081" s="1790" t="s">
        <v>2468</v>
      </c>
      <c r="D1081" s="1791" t="s">
        <v>308</v>
      </c>
      <c r="E1081" s="1790" t="s">
        <v>202</v>
      </c>
      <c r="F1081" s="1792" t="s">
        <v>2472</v>
      </c>
      <c r="G1081" s="1790" t="s">
        <v>2473</v>
      </c>
      <c r="H1081" s="1793" t="s">
        <v>2474</v>
      </c>
      <c r="I1081" s="1794" t="s">
        <v>2475</v>
      </c>
      <c r="J1081" s="1795"/>
    </row>
    <row r="1082" spans="1:10" ht="48">
      <c r="A1082" s="1797" t="s">
        <v>2476</v>
      </c>
      <c r="B1082" s="1798" t="s">
        <v>2479</v>
      </c>
      <c r="C1082" s="1798">
        <v>996</v>
      </c>
      <c r="D1082" s="1799" t="s">
        <v>2692</v>
      </c>
      <c r="E1082" s="1800" t="s">
        <v>160</v>
      </c>
      <c r="F1082" s="1807">
        <v>1.0149999999999999</v>
      </c>
      <c r="G1082" s="1801">
        <v>23.03</v>
      </c>
      <c r="H1082" s="1802">
        <f>IF(E1082="H",G1082,TRUNC(G1082*(1-$K$7),2))</f>
        <v>22.91</v>
      </c>
      <c r="I1082" s="1803">
        <f t="shared" ref="I1082:I1085" si="150">TRUNC(H1082*F1082,2)</f>
        <v>23.25</v>
      </c>
      <c r="J1082" s="1795"/>
    </row>
    <row r="1083" spans="1:10" ht="24">
      <c r="A1083" s="1797" t="s">
        <v>2476</v>
      </c>
      <c r="B1083" s="1798" t="s">
        <v>2479</v>
      </c>
      <c r="C1083" s="1798">
        <v>21127</v>
      </c>
      <c r="D1083" s="1799" t="s">
        <v>2691</v>
      </c>
      <c r="E1083" s="1800" t="s">
        <v>2501</v>
      </c>
      <c r="F1083" s="1807">
        <v>8.9999999999999993E-3</v>
      </c>
      <c r="G1083" s="1801">
        <v>4.0599999999999996</v>
      </c>
      <c r="H1083" s="1802">
        <f>IF(E1083="H",G1083,TRUNC(G1083*(1-$K$7),2))</f>
        <v>4.03</v>
      </c>
      <c r="I1083" s="1803">
        <f t="shared" si="150"/>
        <v>0.03</v>
      </c>
      <c r="J1083" s="1795"/>
    </row>
    <row r="1084" spans="1:10" ht="24">
      <c r="A1084" s="1797" t="s">
        <v>2476</v>
      </c>
      <c r="B1084" s="1798" t="s">
        <v>7</v>
      </c>
      <c r="C1084" s="1798">
        <v>88247</v>
      </c>
      <c r="D1084" s="1799" t="s">
        <v>93</v>
      </c>
      <c r="E1084" s="1800" t="s">
        <v>411</v>
      </c>
      <c r="F1084" s="1807">
        <v>6.08E-2</v>
      </c>
      <c r="G1084" s="1801">
        <v>21</v>
      </c>
      <c r="H1084" s="1802">
        <f>IF(E1084="H",G1084,TRUNC(G1084*(1-$K$7),2))</f>
        <v>21</v>
      </c>
      <c r="I1084" s="1803">
        <f t="shared" si="150"/>
        <v>1.27</v>
      </c>
      <c r="J1084" s="1795"/>
    </row>
    <row r="1085" spans="1:10">
      <c r="A1085" s="1797" t="s">
        <v>2476</v>
      </c>
      <c r="B1085" s="1798" t="s">
        <v>7</v>
      </c>
      <c r="C1085" s="1798">
        <v>88264</v>
      </c>
      <c r="D1085" s="1799" t="s">
        <v>94</v>
      </c>
      <c r="E1085" s="1800" t="s">
        <v>411</v>
      </c>
      <c r="F1085" s="1807">
        <v>6.08E-2</v>
      </c>
      <c r="G1085" s="1801">
        <v>25.54</v>
      </c>
      <c r="H1085" s="1802">
        <f>IF(E1085="H",G1085,TRUNC(G1085*(1-$K$7),2))</f>
        <v>25.54</v>
      </c>
      <c r="I1085" s="1803">
        <f t="shared" si="150"/>
        <v>1.55</v>
      </c>
      <c r="J1085" s="1795"/>
    </row>
    <row r="1086" spans="1:10">
      <c r="A1086" s="1943" t="s">
        <v>2477</v>
      </c>
      <c r="B1086" s="1944"/>
      <c r="C1086" s="1944"/>
      <c r="D1086" s="1944"/>
      <c r="E1086" s="1944"/>
      <c r="F1086" s="1944"/>
      <c r="G1086" s="1944"/>
      <c r="H1086" s="1945"/>
      <c r="I1086" s="1805">
        <f>SUM(I1082:I1085)</f>
        <v>26.1</v>
      </c>
      <c r="J1086" s="1795"/>
    </row>
    <row r="1087" spans="1:10">
      <c r="A1087" s="1929"/>
      <c r="B1087" s="1930"/>
      <c r="C1087" s="1930"/>
      <c r="D1087" s="1930"/>
      <c r="E1087" s="1930"/>
      <c r="F1087" s="1930"/>
      <c r="G1087" s="1930"/>
      <c r="H1087" s="1930"/>
      <c r="I1087" s="1931"/>
      <c r="J1087" s="1795"/>
    </row>
    <row r="1088" spans="1:10" ht="21.75" customHeight="1">
      <c r="A1088" s="1784">
        <f>'PLANILHA SEM DESON'!B173</f>
        <v>91926</v>
      </c>
      <c r="B1088" s="1940" t="str">
        <f>VLOOKUP(A1088,'PLANILHA SEM DESON'!$B$17:$D$1700,2,FALSE)</f>
        <v>CABO DE COBRE FLEXÍVEL ISOLADO, 2,5 MM², ANTI-CHAMA 450/750 V, PARA CIRCUITOS TERMINAIS - FORNECIMENTO E INSTALAÇÃO. AF_12/2015</v>
      </c>
      <c r="C1088" s="1941"/>
      <c r="D1088" s="1941"/>
      <c r="E1088" s="1941"/>
      <c r="F1088" s="1941"/>
      <c r="G1088" s="1941"/>
      <c r="H1088" s="1942"/>
      <c r="I1088" s="1785" t="str">
        <f>VLOOKUP(A1088,'PLANILHA SEM DESON'!$B$17:$D$1700,3,FALSE)</f>
        <v>m</v>
      </c>
      <c r="J1088" s="1786">
        <f>I1094</f>
        <v>3.9499999999999993</v>
      </c>
    </row>
    <row r="1089" spans="1:10" ht="24">
      <c r="A1089" s="1788" t="s">
        <v>2470</v>
      </c>
      <c r="B1089" s="1789" t="s">
        <v>2471</v>
      </c>
      <c r="C1089" s="1790" t="s">
        <v>2468</v>
      </c>
      <c r="D1089" s="1791" t="s">
        <v>308</v>
      </c>
      <c r="E1089" s="1790" t="s">
        <v>202</v>
      </c>
      <c r="F1089" s="1792" t="s">
        <v>2472</v>
      </c>
      <c r="G1089" s="1790" t="s">
        <v>2473</v>
      </c>
      <c r="H1089" s="1793" t="s">
        <v>2474</v>
      </c>
      <c r="I1089" s="1794" t="s">
        <v>2475</v>
      </c>
      <c r="J1089" s="1795"/>
    </row>
    <row r="1090" spans="1:10" ht="36">
      <c r="A1090" s="1797" t="s">
        <v>2476</v>
      </c>
      <c r="B1090" s="1798" t="s">
        <v>2479</v>
      </c>
      <c r="C1090" s="1798">
        <v>1014</v>
      </c>
      <c r="D1090" s="1799" t="s">
        <v>2693</v>
      </c>
      <c r="E1090" s="1800" t="s">
        <v>160</v>
      </c>
      <c r="F1090" s="1807">
        <v>1.19</v>
      </c>
      <c r="G1090" s="1801">
        <v>2.15</v>
      </c>
      <c r="H1090" s="1802">
        <f>IF(E1090="H",G1090,TRUNC(G1090*(1-$K$7),2))</f>
        <v>2.13</v>
      </c>
      <c r="I1090" s="1803">
        <f t="shared" ref="I1090:I1093" si="151">TRUNC(H1090*F1090,2)</f>
        <v>2.5299999999999998</v>
      </c>
      <c r="J1090" s="1795"/>
    </row>
    <row r="1091" spans="1:10" ht="24">
      <c r="A1091" s="1797" t="s">
        <v>2476</v>
      </c>
      <c r="B1091" s="1798" t="s">
        <v>2479</v>
      </c>
      <c r="C1091" s="1798">
        <v>21127</v>
      </c>
      <c r="D1091" s="1799" t="s">
        <v>2691</v>
      </c>
      <c r="E1091" s="1800" t="s">
        <v>2501</v>
      </c>
      <c r="F1091" s="1807">
        <v>8.9999999999999993E-3</v>
      </c>
      <c r="G1091" s="1801">
        <v>4.0599999999999996</v>
      </c>
      <c r="H1091" s="1802">
        <f>IF(E1091="H",G1091,TRUNC(G1091*(1-$K$7),2))</f>
        <v>4.03</v>
      </c>
      <c r="I1091" s="1803">
        <f t="shared" si="151"/>
        <v>0.03</v>
      </c>
      <c r="J1091" s="1795"/>
    </row>
    <row r="1092" spans="1:10" ht="24">
      <c r="A1092" s="1797" t="s">
        <v>2476</v>
      </c>
      <c r="B1092" s="1798" t="s">
        <v>7</v>
      </c>
      <c r="C1092" s="1798">
        <v>88247</v>
      </c>
      <c r="D1092" s="1799" t="s">
        <v>93</v>
      </c>
      <c r="E1092" s="1800" t="s">
        <v>411</v>
      </c>
      <c r="F1092" s="1807">
        <v>0.03</v>
      </c>
      <c r="G1092" s="1801">
        <v>21</v>
      </c>
      <c r="H1092" s="1802">
        <f>IF(E1092="H",G1092,TRUNC(G1092*(1-$K$7),2))</f>
        <v>21</v>
      </c>
      <c r="I1092" s="1803">
        <f t="shared" si="151"/>
        <v>0.63</v>
      </c>
      <c r="J1092" s="1795"/>
    </row>
    <row r="1093" spans="1:10">
      <c r="A1093" s="1797" t="s">
        <v>2476</v>
      </c>
      <c r="B1093" s="1798" t="s">
        <v>7</v>
      </c>
      <c r="C1093" s="1798">
        <v>88264</v>
      </c>
      <c r="D1093" s="1799" t="s">
        <v>94</v>
      </c>
      <c r="E1093" s="1800" t="s">
        <v>411</v>
      </c>
      <c r="F1093" s="1807">
        <v>0.03</v>
      </c>
      <c r="G1093" s="1801">
        <v>25.54</v>
      </c>
      <c r="H1093" s="1802">
        <f>IF(E1093="H",G1093,TRUNC(G1093*(1-$K$7),2))</f>
        <v>25.54</v>
      </c>
      <c r="I1093" s="1803">
        <f t="shared" si="151"/>
        <v>0.76</v>
      </c>
      <c r="J1093" s="1795"/>
    </row>
    <row r="1094" spans="1:10">
      <c r="A1094" s="1943" t="s">
        <v>2477</v>
      </c>
      <c r="B1094" s="1944"/>
      <c r="C1094" s="1944"/>
      <c r="D1094" s="1944"/>
      <c r="E1094" s="1944"/>
      <c r="F1094" s="1944"/>
      <c r="G1094" s="1944"/>
      <c r="H1094" s="1945"/>
      <c r="I1094" s="1805">
        <f>SUM(I1090:I1093)</f>
        <v>3.9499999999999993</v>
      </c>
      <c r="J1094" s="1795"/>
    </row>
    <row r="1095" spans="1:10">
      <c r="A1095" s="1929"/>
      <c r="B1095" s="1930"/>
      <c r="C1095" s="1930"/>
      <c r="D1095" s="1930"/>
      <c r="E1095" s="1930"/>
      <c r="F1095" s="1930"/>
      <c r="G1095" s="1930"/>
      <c r="H1095" s="1930"/>
      <c r="I1095" s="1931"/>
      <c r="J1095" s="1795"/>
    </row>
    <row r="1096" spans="1:10" ht="21" customHeight="1">
      <c r="A1096" s="1784">
        <f>'PLANILHA SEM DESON'!B174</f>
        <v>91928</v>
      </c>
      <c r="B1096" s="1940" t="str">
        <f>VLOOKUP(A1096,'PLANILHA SEM DESON'!$B$17:$D$1700,2,FALSE)</f>
        <v xml:space="preserve">CABO DE COBRE FLEXÍVEL ISOLADO, 4 MM², ANTI-CHAMA 450/750 V, PARA CIRCUITOS TERMINAIS - FORNECIMENTO E INSTALAÇÃO. AF_12/2015 </v>
      </c>
      <c r="C1096" s="1941"/>
      <c r="D1096" s="1941"/>
      <c r="E1096" s="1941"/>
      <c r="F1096" s="1941"/>
      <c r="G1096" s="1941"/>
      <c r="H1096" s="1942"/>
      <c r="I1096" s="1785" t="str">
        <f>VLOOKUP(A1096,'PLANILHA SEM DESON'!$B$17:$D$1700,3,FALSE)</f>
        <v>m</v>
      </c>
      <c r="J1096" s="1786">
        <f>I1102</f>
        <v>6.1</v>
      </c>
    </row>
    <row r="1097" spans="1:10" ht="24">
      <c r="A1097" s="1788" t="s">
        <v>2470</v>
      </c>
      <c r="B1097" s="1789" t="s">
        <v>2471</v>
      </c>
      <c r="C1097" s="1790" t="s">
        <v>2468</v>
      </c>
      <c r="D1097" s="1791" t="s">
        <v>308</v>
      </c>
      <c r="E1097" s="1790" t="s">
        <v>202</v>
      </c>
      <c r="F1097" s="1792" t="s">
        <v>2472</v>
      </c>
      <c r="G1097" s="1790" t="s">
        <v>2473</v>
      </c>
      <c r="H1097" s="1793" t="s">
        <v>2474</v>
      </c>
      <c r="I1097" s="1794" t="s">
        <v>2475</v>
      </c>
      <c r="J1097" s="1795"/>
    </row>
    <row r="1098" spans="1:10" ht="36">
      <c r="A1098" s="1797" t="s">
        <v>2476</v>
      </c>
      <c r="B1098" s="1798" t="s">
        <v>2479</v>
      </c>
      <c r="C1098" s="1798">
        <v>981</v>
      </c>
      <c r="D1098" s="1799" t="s">
        <v>2694</v>
      </c>
      <c r="E1098" s="1800" t="s">
        <v>160</v>
      </c>
      <c r="F1098" s="1807">
        <v>1.19</v>
      </c>
      <c r="G1098" s="1801">
        <v>3.56</v>
      </c>
      <c r="H1098" s="1802">
        <f>IF(E1098="H",G1098,TRUNC(G1098*(1-$K$7),2))</f>
        <v>3.54</v>
      </c>
      <c r="I1098" s="1803">
        <f t="shared" ref="I1098:I1101" si="152">TRUNC(H1098*F1098,2)</f>
        <v>4.21</v>
      </c>
      <c r="J1098" s="1795"/>
    </row>
    <row r="1099" spans="1:10" ht="24">
      <c r="A1099" s="1797" t="s">
        <v>2476</v>
      </c>
      <c r="B1099" s="1798" t="s">
        <v>2479</v>
      </c>
      <c r="C1099" s="1798">
        <v>21127</v>
      </c>
      <c r="D1099" s="1799" t="s">
        <v>2691</v>
      </c>
      <c r="E1099" s="1800" t="s">
        <v>2501</v>
      </c>
      <c r="F1099" s="1807">
        <v>8.9999999999999993E-3</v>
      </c>
      <c r="G1099" s="1801">
        <v>4.0599999999999996</v>
      </c>
      <c r="H1099" s="1802">
        <f>IF(E1099="H",G1099,TRUNC(G1099*(1-$K$7),2))</f>
        <v>4.03</v>
      </c>
      <c r="I1099" s="1803">
        <f t="shared" si="152"/>
        <v>0.03</v>
      </c>
      <c r="J1099" s="1795"/>
    </row>
    <row r="1100" spans="1:10" ht="24">
      <c r="A1100" s="1797" t="s">
        <v>2476</v>
      </c>
      <c r="B1100" s="1798" t="s">
        <v>7</v>
      </c>
      <c r="C1100" s="1798">
        <v>88247</v>
      </c>
      <c r="D1100" s="1799" t="s">
        <v>93</v>
      </c>
      <c r="E1100" s="1800" t="s">
        <v>411</v>
      </c>
      <c r="F1100" s="1807">
        <v>0.04</v>
      </c>
      <c r="G1100" s="1801">
        <v>21</v>
      </c>
      <c r="H1100" s="1802">
        <f>IF(E1100="H",G1100,TRUNC(G1100*(1-$K$7),2))</f>
        <v>21</v>
      </c>
      <c r="I1100" s="1803">
        <f t="shared" si="152"/>
        <v>0.84</v>
      </c>
      <c r="J1100" s="1795"/>
    </row>
    <row r="1101" spans="1:10">
      <c r="A1101" s="1797" t="s">
        <v>2476</v>
      </c>
      <c r="B1101" s="1798" t="s">
        <v>7</v>
      </c>
      <c r="C1101" s="1798">
        <v>88264</v>
      </c>
      <c r="D1101" s="1799" t="s">
        <v>94</v>
      </c>
      <c r="E1101" s="1800" t="s">
        <v>411</v>
      </c>
      <c r="F1101" s="1807">
        <v>0.04</v>
      </c>
      <c r="G1101" s="1801">
        <v>25.54</v>
      </c>
      <c r="H1101" s="1802">
        <f>IF(E1101="H",G1101,TRUNC(G1101*(1-$K$7),2))</f>
        <v>25.54</v>
      </c>
      <c r="I1101" s="1803">
        <f t="shared" si="152"/>
        <v>1.02</v>
      </c>
      <c r="J1101" s="1795"/>
    </row>
    <row r="1102" spans="1:10">
      <c r="A1102" s="1943" t="s">
        <v>2477</v>
      </c>
      <c r="B1102" s="1944"/>
      <c r="C1102" s="1944"/>
      <c r="D1102" s="1944"/>
      <c r="E1102" s="1944"/>
      <c r="F1102" s="1944"/>
      <c r="G1102" s="1944"/>
      <c r="H1102" s="1945"/>
      <c r="I1102" s="1805">
        <f>SUM(I1098:I1101)</f>
        <v>6.1</v>
      </c>
      <c r="J1102" s="1795"/>
    </row>
    <row r="1103" spans="1:10">
      <c r="A1103" s="1929"/>
      <c r="B1103" s="1930"/>
      <c r="C1103" s="1930"/>
      <c r="D1103" s="1930"/>
      <c r="E1103" s="1930"/>
      <c r="F1103" s="1930"/>
      <c r="G1103" s="1930"/>
      <c r="H1103" s="1930"/>
      <c r="I1103" s="1931"/>
      <c r="J1103" s="1795"/>
    </row>
    <row r="1104" spans="1:10" ht="24.75" customHeight="1">
      <c r="A1104" s="1784">
        <f>'PLANILHA SEM DESON'!B175</f>
        <v>91924</v>
      </c>
      <c r="B1104" s="1940" t="str">
        <f>VLOOKUP(A1104,'PLANILHA SEM DESON'!$B$17:$D$1700,2,FALSE)</f>
        <v xml:space="preserve">CABO DE COBRE FLEXÍVEL ISOLADO, 1,5 MM², ANTI-CHAMA 450/750 V, PARA CIRCUITOS TERMINAIS - FORNECIMENTO E INSTALAÇÃO. AF_12/2015 </v>
      </c>
      <c r="C1104" s="1941"/>
      <c r="D1104" s="1941"/>
      <c r="E1104" s="1941"/>
      <c r="F1104" s="1941"/>
      <c r="G1104" s="1941"/>
      <c r="H1104" s="1942"/>
      <c r="I1104" s="1785" t="str">
        <f>VLOOKUP(A1104,'PLANILHA SEM DESON'!$B$17:$D$1700,3,FALSE)</f>
        <v>m</v>
      </c>
      <c r="J1104" s="1786">
        <f>I1110</f>
        <v>2.73</v>
      </c>
    </row>
    <row r="1105" spans="1:10" ht="24">
      <c r="A1105" s="1788" t="s">
        <v>2470</v>
      </c>
      <c r="B1105" s="1789" t="s">
        <v>2471</v>
      </c>
      <c r="C1105" s="1790" t="s">
        <v>2468</v>
      </c>
      <c r="D1105" s="1791" t="s">
        <v>308</v>
      </c>
      <c r="E1105" s="1790" t="s">
        <v>202</v>
      </c>
      <c r="F1105" s="1792" t="s">
        <v>2472</v>
      </c>
      <c r="G1105" s="1790" t="s">
        <v>2473</v>
      </c>
      <c r="H1105" s="1793" t="s">
        <v>2474</v>
      </c>
      <c r="I1105" s="1794" t="s">
        <v>2475</v>
      </c>
      <c r="J1105" s="1795"/>
    </row>
    <row r="1106" spans="1:10" ht="36">
      <c r="A1106" s="1797" t="s">
        <v>2476</v>
      </c>
      <c r="B1106" s="1798" t="s">
        <v>2479</v>
      </c>
      <c r="C1106" s="1798">
        <v>1013</v>
      </c>
      <c r="D1106" s="1799" t="s">
        <v>2695</v>
      </c>
      <c r="E1106" s="1800" t="s">
        <v>160</v>
      </c>
      <c r="F1106" s="1807">
        <v>1.19</v>
      </c>
      <c r="G1106" s="1801">
        <v>1.35</v>
      </c>
      <c r="H1106" s="1802">
        <f>IF(E1106="H",G1106,TRUNC(G1106*(1-$K$7),2))</f>
        <v>1.34</v>
      </c>
      <c r="I1106" s="1803">
        <f t="shared" ref="I1106:I1109" si="153">TRUNC(H1106*F1106,2)</f>
        <v>1.59</v>
      </c>
      <c r="J1106" s="1795"/>
    </row>
    <row r="1107" spans="1:10" ht="24">
      <c r="A1107" s="1797" t="s">
        <v>2476</v>
      </c>
      <c r="B1107" s="1798" t="s">
        <v>2479</v>
      </c>
      <c r="C1107" s="1798">
        <v>21127</v>
      </c>
      <c r="D1107" s="1799" t="s">
        <v>2691</v>
      </c>
      <c r="E1107" s="1800" t="s">
        <v>2501</v>
      </c>
      <c r="F1107" s="1807">
        <v>8.9999999999999993E-3</v>
      </c>
      <c r="G1107" s="1801">
        <v>4.0599999999999996</v>
      </c>
      <c r="H1107" s="1802">
        <f>IF(E1107="H",G1107,TRUNC(G1107*(1-$K$7),2))</f>
        <v>4.03</v>
      </c>
      <c r="I1107" s="1803">
        <f t="shared" si="153"/>
        <v>0.03</v>
      </c>
      <c r="J1107" s="1795"/>
    </row>
    <row r="1108" spans="1:10" ht="24">
      <c r="A1108" s="1797" t="s">
        <v>2476</v>
      </c>
      <c r="B1108" s="1798" t="s">
        <v>7</v>
      </c>
      <c r="C1108" s="1798">
        <v>88247</v>
      </c>
      <c r="D1108" s="1799" t="s">
        <v>93</v>
      </c>
      <c r="E1108" s="1800" t="s">
        <v>411</v>
      </c>
      <c r="F1108" s="1807">
        <v>2.4E-2</v>
      </c>
      <c r="G1108" s="1801">
        <v>21</v>
      </c>
      <c r="H1108" s="1802">
        <f>IF(E1108="H",G1108,TRUNC(G1108*(1-$K$7),2))</f>
        <v>21</v>
      </c>
      <c r="I1108" s="1803">
        <f t="shared" si="153"/>
        <v>0.5</v>
      </c>
      <c r="J1108" s="1795"/>
    </row>
    <row r="1109" spans="1:10">
      <c r="A1109" s="1797" t="s">
        <v>2476</v>
      </c>
      <c r="B1109" s="1798" t="s">
        <v>7</v>
      </c>
      <c r="C1109" s="1798">
        <v>88264</v>
      </c>
      <c r="D1109" s="1799" t="s">
        <v>94</v>
      </c>
      <c r="E1109" s="1800" t="s">
        <v>411</v>
      </c>
      <c r="F1109" s="1807">
        <v>2.4E-2</v>
      </c>
      <c r="G1109" s="1801">
        <v>25.54</v>
      </c>
      <c r="H1109" s="1802">
        <f>IF(E1109="H",G1109,TRUNC(G1109*(1-$K$7),2))</f>
        <v>25.54</v>
      </c>
      <c r="I1109" s="1803">
        <f t="shared" si="153"/>
        <v>0.61</v>
      </c>
      <c r="J1109" s="1795"/>
    </row>
    <row r="1110" spans="1:10">
      <c r="A1110" s="1943" t="s">
        <v>2477</v>
      </c>
      <c r="B1110" s="1944"/>
      <c r="C1110" s="1944"/>
      <c r="D1110" s="1944"/>
      <c r="E1110" s="1944"/>
      <c r="F1110" s="1944"/>
      <c r="G1110" s="1944"/>
      <c r="H1110" s="1945"/>
      <c r="I1110" s="1805">
        <f>SUM(I1106:I1109)</f>
        <v>2.73</v>
      </c>
      <c r="J1110" s="1795"/>
    </row>
    <row r="1111" spans="1:10">
      <c r="A1111" s="1929"/>
      <c r="B1111" s="1930"/>
      <c r="C1111" s="1930"/>
      <c r="D1111" s="1930"/>
      <c r="E1111" s="1930"/>
      <c r="F1111" s="1930"/>
      <c r="G1111" s="1930"/>
      <c r="H1111" s="1930"/>
      <c r="I1111" s="1931"/>
      <c r="J1111" s="1795"/>
    </row>
    <row r="1112" spans="1:10" ht="24" customHeight="1">
      <c r="A1112" s="1784" t="str">
        <f>'PLANILHA SEM DESON'!B176</f>
        <v>COMP ELE 35</v>
      </c>
      <c r="B1112" s="1940" t="str">
        <f>VLOOKUP(A1112,'PLANILHA SEM DESON'!$B$17:$D$1700,2,FALSE)</f>
        <v>CONDULETE PVC ENCAIXE TIPO C 3/4"</v>
      </c>
      <c r="C1112" s="1941"/>
      <c r="D1112" s="1941"/>
      <c r="E1112" s="1941"/>
      <c r="F1112" s="1941"/>
      <c r="G1112" s="1941"/>
      <c r="H1112" s="1942"/>
      <c r="I1112" s="1785" t="str">
        <f>VLOOKUP(A1112,'PLANILHA SEM DESON'!$B$17:$D$1700,3,FALSE)</f>
        <v xml:space="preserve">un </v>
      </c>
      <c r="J1112" s="1786">
        <f>I1118</f>
        <v>26.869999999999997</v>
      </c>
    </row>
    <row r="1113" spans="1:10" ht="24">
      <c r="A1113" s="1788" t="s">
        <v>2470</v>
      </c>
      <c r="B1113" s="1789" t="s">
        <v>2471</v>
      </c>
      <c r="C1113" s="1790" t="s">
        <v>2468</v>
      </c>
      <c r="D1113" s="1791" t="s">
        <v>308</v>
      </c>
      <c r="E1113" s="1790" t="s">
        <v>202</v>
      </c>
      <c r="F1113" s="1792" t="s">
        <v>2472</v>
      </c>
      <c r="G1113" s="1790" t="s">
        <v>2473</v>
      </c>
      <c r="H1113" s="1793" t="s">
        <v>2474</v>
      </c>
      <c r="I1113" s="1794" t="s">
        <v>2475</v>
      </c>
      <c r="J1113" s="1795"/>
    </row>
    <row r="1114" spans="1:10">
      <c r="A1114" s="1797"/>
      <c r="B1114" s="1798"/>
      <c r="C1114" s="1798">
        <v>88264</v>
      </c>
      <c r="D1114" s="1799" t="s">
        <v>94</v>
      </c>
      <c r="E1114" s="1800" t="s">
        <v>57</v>
      </c>
      <c r="F1114" s="1809">
        <v>0.3523</v>
      </c>
      <c r="G1114" s="1806">
        <v>25.54</v>
      </c>
      <c r="H1114" s="1802">
        <f>IF(E1114="H",G1114,TRUNC(G1114*(1-$K$7),2))</f>
        <v>25.54</v>
      </c>
      <c r="I1114" s="1803">
        <f t="shared" ref="I1114:I1117" si="154">TRUNC(H1114*F1114,2)</f>
        <v>8.99</v>
      </c>
      <c r="J1114" s="1795"/>
    </row>
    <row r="1115" spans="1:10" ht="24">
      <c r="A1115" s="1797"/>
      <c r="B1115" s="1798"/>
      <c r="C1115" s="1798">
        <v>88247</v>
      </c>
      <c r="D1115" s="1799" t="s">
        <v>93</v>
      </c>
      <c r="E1115" s="1800" t="s">
        <v>57</v>
      </c>
      <c r="F1115" s="1809">
        <v>0.3523</v>
      </c>
      <c r="G1115" s="1806">
        <v>21</v>
      </c>
      <c r="H1115" s="1802">
        <f>IF(E1115="H",G1115,TRUNC(G1115*(1-$K$7),2))</f>
        <v>21</v>
      </c>
      <c r="I1115" s="1803">
        <f t="shared" si="154"/>
        <v>7.39</v>
      </c>
      <c r="J1115" s="1795"/>
    </row>
    <row r="1116" spans="1:10">
      <c r="A1116" s="1797"/>
      <c r="B1116" s="1798"/>
      <c r="C1116" s="1798">
        <v>39331</v>
      </c>
      <c r="D1116" s="1799" t="s">
        <v>2167</v>
      </c>
      <c r="E1116" s="1800" t="s">
        <v>55</v>
      </c>
      <c r="F1116" s="1811">
        <v>1</v>
      </c>
      <c r="G1116" s="1806">
        <v>10.17</v>
      </c>
      <c r="H1116" s="1802">
        <f>IF(E1116="H",G1116,TRUNC(G1116*(1-$K$7),2))</f>
        <v>10.11</v>
      </c>
      <c r="I1116" s="1803">
        <f t="shared" si="154"/>
        <v>10.11</v>
      </c>
      <c r="J1116" s="1795"/>
    </row>
    <row r="1117" spans="1:10" ht="36">
      <c r="A1117" s="1797"/>
      <c r="B1117" s="1798"/>
      <c r="C1117" s="1798">
        <v>11950</v>
      </c>
      <c r="D1117" s="1799" t="s">
        <v>2168</v>
      </c>
      <c r="E1117" s="1800" t="s">
        <v>55</v>
      </c>
      <c r="F1117" s="1811">
        <v>2</v>
      </c>
      <c r="G1117" s="1806">
        <v>0.2</v>
      </c>
      <c r="H1117" s="1802">
        <f>IF(E1117="H",G1117,TRUNC(G1117*(1-$K$7),2))</f>
        <v>0.19</v>
      </c>
      <c r="I1117" s="1803">
        <f t="shared" si="154"/>
        <v>0.38</v>
      </c>
      <c r="J1117" s="1795"/>
    </row>
    <row r="1118" spans="1:10">
      <c r="A1118" s="1943" t="s">
        <v>2477</v>
      </c>
      <c r="B1118" s="1944"/>
      <c r="C1118" s="1944"/>
      <c r="D1118" s="1944"/>
      <c r="E1118" s="1944"/>
      <c r="F1118" s="1944"/>
      <c r="G1118" s="1944"/>
      <c r="H1118" s="1945"/>
      <c r="I1118" s="1805">
        <f>SUM(I1114:I1117)</f>
        <v>26.869999999999997</v>
      </c>
      <c r="J1118" s="1795"/>
    </row>
    <row r="1119" spans="1:10">
      <c r="A1119" s="1929"/>
      <c r="B1119" s="1930"/>
      <c r="C1119" s="1930"/>
      <c r="D1119" s="1930"/>
      <c r="E1119" s="1930"/>
      <c r="F1119" s="1930"/>
      <c r="G1119" s="1930"/>
      <c r="H1119" s="1930"/>
      <c r="I1119" s="1931"/>
      <c r="J1119" s="1795"/>
    </row>
    <row r="1120" spans="1:10" ht="25.5" customHeight="1">
      <c r="A1120" s="1784" t="str">
        <f>'PLANILHA SEM DESON'!B177</f>
        <v>COMP ELE 39</v>
      </c>
      <c r="B1120" s="1940" t="str">
        <f>VLOOKUP(A1120,'PLANILHA SEM DESON'!$B$17:$D$1700,2,FALSE)</f>
        <v>CONDULETE PVC ENCAIXE TIPO T  1"</v>
      </c>
      <c r="C1120" s="1941"/>
      <c r="D1120" s="1941"/>
      <c r="E1120" s="1941"/>
      <c r="F1120" s="1941"/>
      <c r="G1120" s="1941"/>
      <c r="H1120" s="1942"/>
      <c r="I1120" s="1785" t="str">
        <f>VLOOKUP(A1120,'PLANILHA SEM DESON'!$B$17:$D$1700,3,FALSE)</f>
        <v xml:space="preserve">un </v>
      </c>
      <c r="J1120" s="1786">
        <f>I1126</f>
        <v>33.330000000000005</v>
      </c>
    </row>
    <row r="1121" spans="1:10" ht="24">
      <c r="A1121" s="1788" t="s">
        <v>2470</v>
      </c>
      <c r="B1121" s="1789" t="s">
        <v>2471</v>
      </c>
      <c r="C1121" s="1790" t="s">
        <v>2468</v>
      </c>
      <c r="D1121" s="1791" t="s">
        <v>308</v>
      </c>
      <c r="E1121" s="1790" t="s">
        <v>202</v>
      </c>
      <c r="F1121" s="1792" t="s">
        <v>2472</v>
      </c>
      <c r="G1121" s="1790" t="s">
        <v>2473</v>
      </c>
      <c r="H1121" s="1793" t="s">
        <v>2474</v>
      </c>
      <c r="I1121" s="1794" t="s">
        <v>2475</v>
      </c>
      <c r="J1121" s="1795"/>
    </row>
    <row r="1122" spans="1:10">
      <c r="A1122" s="1797"/>
      <c r="B1122" s="1798"/>
      <c r="C1122" s="1798">
        <v>88264</v>
      </c>
      <c r="D1122" s="1799" t="s">
        <v>94</v>
      </c>
      <c r="E1122" s="1800" t="s">
        <v>57</v>
      </c>
      <c r="F1122" s="1809">
        <v>0.3523</v>
      </c>
      <c r="G1122" s="1806">
        <v>25.54</v>
      </c>
      <c r="H1122" s="1802">
        <f>IF(E1122="H",G1122,TRUNC(G1122*(1-$K$7),2))</f>
        <v>25.54</v>
      </c>
      <c r="I1122" s="1803">
        <f t="shared" ref="I1122:I1125" si="155">TRUNC(H1122*F1122,2)</f>
        <v>8.99</v>
      </c>
      <c r="J1122" s="1795"/>
    </row>
    <row r="1123" spans="1:10" ht="24">
      <c r="A1123" s="1797"/>
      <c r="B1123" s="1798"/>
      <c r="C1123" s="1798">
        <v>88247</v>
      </c>
      <c r="D1123" s="1799" t="s">
        <v>93</v>
      </c>
      <c r="E1123" s="1800" t="s">
        <v>57</v>
      </c>
      <c r="F1123" s="1809">
        <v>0.3523</v>
      </c>
      <c r="G1123" s="1806">
        <v>21</v>
      </c>
      <c r="H1123" s="1802">
        <f>IF(E1123="H",G1123,TRUNC(G1123*(1-$K$7),2))</f>
        <v>21</v>
      </c>
      <c r="I1123" s="1803">
        <f t="shared" si="155"/>
        <v>7.39</v>
      </c>
      <c r="J1123" s="1795"/>
    </row>
    <row r="1124" spans="1:10">
      <c r="A1124" s="1797"/>
      <c r="B1124" s="1798"/>
      <c r="C1124" s="1798">
        <v>39341</v>
      </c>
      <c r="D1124" s="1799" t="s">
        <v>2431</v>
      </c>
      <c r="E1124" s="1800" t="s">
        <v>55</v>
      </c>
      <c r="F1124" s="1811">
        <v>1</v>
      </c>
      <c r="G1124" s="1806">
        <v>16.66</v>
      </c>
      <c r="H1124" s="1802">
        <f>IF(E1124="H",G1124,TRUNC(G1124*(1-$K$7),2))</f>
        <v>16.57</v>
      </c>
      <c r="I1124" s="1803">
        <f t="shared" si="155"/>
        <v>16.57</v>
      </c>
      <c r="J1124" s="1795"/>
    </row>
    <row r="1125" spans="1:10" ht="36">
      <c r="A1125" s="1797"/>
      <c r="B1125" s="1798"/>
      <c r="C1125" s="1798">
        <v>11950</v>
      </c>
      <c r="D1125" s="1799" t="s">
        <v>2168</v>
      </c>
      <c r="E1125" s="1800" t="s">
        <v>55</v>
      </c>
      <c r="F1125" s="1811">
        <v>2</v>
      </c>
      <c r="G1125" s="1806">
        <v>0.2</v>
      </c>
      <c r="H1125" s="1802">
        <f>IF(E1125="H",G1125,TRUNC(G1125*(1-$K$7),2))</f>
        <v>0.19</v>
      </c>
      <c r="I1125" s="1803">
        <f t="shared" si="155"/>
        <v>0.38</v>
      </c>
      <c r="J1125" s="1795"/>
    </row>
    <row r="1126" spans="1:10">
      <c r="A1126" s="1943" t="s">
        <v>2477</v>
      </c>
      <c r="B1126" s="1944"/>
      <c r="C1126" s="1944"/>
      <c r="D1126" s="1944"/>
      <c r="E1126" s="1944"/>
      <c r="F1126" s="1944"/>
      <c r="G1126" s="1944"/>
      <c r="H1126" s="1945"/>
      <c r="I1126" s="1805">
        <f>SUM(I1122:I1125)</f>
        <v>33.330000000000005</v>
      </c>
      <c r="J1126" s="1795"/>
    </row>
    <row r="1127" spans="1:10">
      <c r="A1127" s="1929"/>
      <c r="B1127" s="1930"/>
      <c r="C1127" s="1930"/>
      <c r="D1127" s="1930"/>
      <c r="E1127" s="1930"/>
      <c r="F1127" s="1930"/>
      <c r="G1127" s="1930"/>
      <c r="H1127" s="1930"/>
      <c r="I1127" s="1931"/>
      <c r="J1127" s="1795"/>
    </row>
    <row r="1128" spans="1:10" ht="25.5" customHeight="1">
      <c r="A1128" s="1784" t="str">
        <f>'PLANILHA SEM DESON'!B178</f>
        <v>COMP ELE 37</v>
      </c>
      <c r="B1128" s="1940" t="str">
        <f>VLOOKUP(A1128,'PLANILHA SEM DESON'!$B$17:$D$1700,2,FALSE)</f>
        <v>CONDULETE PVC ENCAIXE TIPO LR 3/4"</v>
      </c>
      <c r="C1128" s="1941"/>
      <c r="D1128" s="1941"/>
      <c r="E1128" s="1941"/>
      <c r="F1128" s="1941"/>
      <c r="G1128" s="1941"/>
      <c r="H1128" s="1942"/>
      <c r="I1128" s="1785" t="str">
        <f>VLOOKUP(A1128,'PLANILHA SEM DESON'!$B$17:$D$1700,3,FALSE)</f>
        <v xml:space="preserve">un </v>
      </c>
      <c r="J1128" s="1786">
        <f>I1134</f>
        <v>26.869999999999997</v>
      </c>
    </row>
    <row r="1129" spans="1:10" ht="24">
      <c r="A1129" s="1788" t="s">
        <v>2470</v>
      </c>
      <c r="B1129" s="1789" t="s">
        <v>2471</v>
      </c>
      <c r="C1129" s="1790" t="s">
        <v>2468</v>
      </c>
      <c r="D1129" s="1791" t="s">
        <v>308</v>
      </c>
      <c r="E1129" s="1790" t="s">
        <v>202</v>
      </c>
      <c r="F1129" s="1792" t="s">
        <v>2472</v>
      </c>
      <c r="G1129" s="1790" t="s">
        <v>2473</v>
      </c>
      <c r="H1129" s="1793" t="s">
        <v>2474</v>
      </c>
      <c r="I1129" s="1794" t="s">
        <v>2475</v>
      </c>
      <c r="J1129" s="1795"/>
    </row>
    <row r="1130" spans="1:10">
      <c r="A1130" s="1797"/>
      <c r="B1130" s="1798"/>
      <c r="C1130" s="1798">
        <v>88264</v>
      </c>
      <c r="D1130" s="1799" t="s">
        <v>94</v>
      </c>
      <c r="E1130" s="1800" t="s">
        <v>57</v>
      </c>
      <c r="F1130" s="1809">
        <v>0.3523</v>
      </c>
      <c r="G1130" s="1806">
        <v>25.54</v>
      </c>
      <c r="H1130" s="1802">
        <f>IF(E1130="H",G1130,TRUNC(G1130*(1-$K$7),2))</f>
        <v>25.54</v>
      </c>
      <c r="I1130" s="1803">
        <f t="shared" ref="I1130:I1133" si="156">TRUNC(H1130*F1130,2)</f>
        <v>8.99</v>
      </c>
      <c r="J1130" s="1795"/>
    </row>
    <row r="1131" spans="1:10" ht="24">
      <c r="A1131" s="1797"/>
      <c r="B1131" s="1798"/>
      <c r="C1131" s="1798">
        <v>88247</v>
      </c>
      <c r="D1131" s="1799" t="s">
        <v>93</v>
      </c>
      <c r="E1131" s="1800" t="s">
        <v>57</v>
      </c>
      <c r="F1131" s="1809">
        <v>0.3523</v>
      </c>
      <c r="G1131" s="1806">
        <v>21</v>
      </c>
      <c r="H1131" s="1802">
        <f>IF(E1131="H",G1131,TRUNC(G1131*(1-$K$7),2))</f>
        <v>21</v>
      </c>
      <c r="I1131" s="1803">
        <f t="shared" si="156"/>
        <v>7.39</v>
      </c>
      <c r="J1131" s="1795"/>
    </row>
    <row r="1132" spans="1:10">
      <c r="A1132" s="1797"/>
      <c r="B1132" s="1798"/>
      <c r="C1132" s="1798">
        <v>39337</v>
      </c>
      <c r="D1132" s="1799" t="s">
        <v>2169</v>
      </c>
      <c r="E1132" s="1800" t="s">
        <v>55</v>
      </c>
      <c r="F1132" s="1811">
        <v>1</v>
      </c>
      <c r="G1132" s="1806">
        <v>10.17</v>
      </c>
      <c r="H1132" s="1802">
        <f>IF(E1132="H",G1132,TRUNC(G1132*(1-$K$7),2))</f>
        <v>10.11</v>
      </c>
      <c r="I1132" s="1803">
        <f t="shared" si="156"/>
        <v>10.11</v>
      </c>
      <c r="J1132" s="1795"/>
    </row>
    <row r="1133" spans="1:10" ht="36">
      <c r="A1133" s="1797"/>
      <c r="B1133" s="1798"/>
      <c r="C1133" s="1798">
        <v>11950</v>
      </c>
      <c r="D1133" s="1799" t="s">
        <v>2168</v>
      </c>
      <c r="E1133" s="1800" t="s">
        <v>55</v>
      </c>
      <c r="F1133" s="1811">
        <v>2</v>
      </c>
      <c r="G1133" s="1806">
        <v>0.2</v>
      </c>
      <c r="H1133" s="1802">
        <f>IF(E1133="H",G1133,TRUNC(G1133*(1-$K$7),2))</f>
        <v>0.19</v>
      </c>
      <c r="I1133" s="1803">
        <f t="shared" si="156"/>
        <v>0.38</v>
      </c>
      <c r="J1133" s="1795"/>
    </row>
    <row r="1134" spans="1:10">
      <c r="A1134" s="1943" t="s">
        <v>2477</v>
      </c>
      <c r="B1134" s="1944"/>
      <c r="C1134" s="1944"/>
      <c r="D1134" s="1944"/>
      <c r="E1134" s="1944"/>
      <c r="F1134" s="1944"/>
      <c r="G1134" s="1944"/>
      <c r="H1134" s="1945"/>
      <c r="I1134" s="1805">
        <f>SUM(I1130:I1133)</f>
        <v>26.869999999999997</v>
      </c>
      <c r="J1134" s="1795"/>
    </row>
    <row r="1135" spans="1:10">
      <c r="A1135" s="1929"/>
      <c r="B1135" s="1930"/>
      <c r="C1135" s="1930"/>
      <c r="D1135" s="1930"/>
      <c r="E1135" s="1930"/>
      <c r="F1135" s="1930"/>
      <c r="G1135" s="1930"/>
      <c r="H1135" s="1930"/>
      <c r="I1135" s="1931"/>
      <c r="J1135" s="1795"/>
    </row>
    <row r="1136" spans="1:10" ht="25.5" customHeight="1">
      <c r="A1136" s="1784" t="str">
        <f>'PLANILHA SEM DESON'!B179</f>
        <v>COMP ELE 38</v>
      </c>
      <c r="B1136" s="1940" t="str">
        <f>VLOOKUP(A1136,'PLANILHA SEM DESON'!$B$17:$D$1700,2,FALSE)</f>
        <v>CONDULETE PVC ENCAIXE TIPO LR  1"</v>
      </c>
      <c r="C1136" s="1941"/>
      <c r="D1136" s="1941"/>
      <c r="E1136" s="1941"/>
      <c r="F1136" s="1941"/>
      <c r="G1136" s="1941"/>
      <c r="H1136" s="1942"/>
      <c r="I1136" s="1785" t="str">
        <f>VLOOKUP(A1136,'PLANILHA SEM DESON'!$B$17:$D$1700,3,FALSE)</f>
        <v xml:space="preserve">un </v>
      </c>
      <c r="J1136" s="1786">
        <f>I1142</f>
        <v>29.47</v>
      </c>
    </row>
    <row r="1137" spans="1:10" ht="24">
      <c r="A1137" s="1788" t="s">
        <v>2470</v>
      </c>
      <c r="B1137" s="1789" t="s">
        <v>2471</v>
      </c>
      <c r="C1137" s="1790" t="s">
        <v>2468</v>
      </c>
      <c r="D1137" s="1791" t="s">
        <v>308</v>
      </c>
      <c r="E1137" s="1790" t="s">
        <v>202</v>
      </c>
      <c r="F1137" s="1792" t="s">
        <v>2472</v>
      </c>
      <c r="G1137" s="1790" t="s">
        <v>2473</v>
      </c>
      <c r="H1137" s="1793" t="s">
        <v>2474</v>
      </c>
      <c r="I1137" s="1794" t="s">
        <v>2475</v>
      </c>
      <c r="J1137" s="1795"/>
    </row>
    <row r="1138" spans="1:10">
      <c r="A1138" s="1797"/>
      <c r="B1138" s="1798"/>
      <c r="C1138" s="1798">
        <v>88264</v>
      </c>
      <c r="D1138" s="1799" t="s">
        <v>94</v>
      </c>
      <c r="E1138" s="1800" t="s">
        <v>57</v>
      </c>
      <c r="F1138" s="1809">
        <v>0.3523</v>
      </c>
      <c r="G1138" s="1806">
        <v>25.54</v>
      </c>
      <c r="H1138" s="1802">
        <f>IF(E1138="H",G1138,TRUNC(G1138*(1-$K$7),2))</f>
        <v>25.54</v>
      </c>
      <c r="I1138" s="1803">
        <f t="shared" ref="I1138:I1141" si="157">TRUNC(H1138*F1138,2)</f>
        <v>8.99</v>
      </c>
      <c r="J1138" s="1795"/>
    </row>
    <row r="1139" spans="1:10" ht="24">
      <c r="A1139" s="1797"/>
      <c r="B1139" s="1798"/>
      <c r="C1139" s="1798">
        <v>88247</v>
      </c>
      <c r="D1139" s="1799" t="s">
        <v>93</v>
      </c>
      <c r="E1139" s="1800" t="s">
        <v>57</v>
      </c>
      <c r="F1139" s="1809">
        <v>0.3523</v>
      </c>
      <c r="G1139" s="1806">
        <v>21</v>
      </c>
      <c r="H1139" s="1802">
        <f>IF(E1139="H",G1139,TRUNC(G1139*(1-$K$7),2))</f>
        <v>21</v>
      </c>
      <c r="I1139" s="1803">
        <f t="shared" si="157"/>
        <v>7.39</v>
      </c>
      <c r="J1139" s="1795"/>
    </row>
    <row r="1140" spans="1:10">
      <c r="A1140" s="1797"/>
      <c r="B1140" s="1798"/>
      <c r="C1140" s="1798">
        <v>39338</v>
      </c>
      <c r="D1140" s="1799" t="s">
        <v>2170</v>
      </c>
      <c r="E1140" s="1800" t="s">
        <v>55</v>
      </c>
      <c r="F1140" s="1811">
        <v>1</v>
      </c>
      <c r="G1140" s="1806">
        <v>12.78</v>
      </c>
      <c r="H1140" s="1802">
        <f>IF(E1140="H",G1140,TRUNC(G1140*(1-$K$7),2))</f>
        <v>12.71</v>
      </c>
      <c r="I1140" s="1803">
        <f t="shared" si="157"/>
        <v>12.71</v>
      </c>
      <c r="J1140" s="1795"/>
    </row>
    <row r="1141" spans="1:10" ht="36">
      <c r="A1141" s="1797"/>
      <c r="B1141" s="1798"/>
      <c r="C1141" s="1798">
        <v>11950</v>
      </c>
      <c r="D1141" s="1799" t="s">
        <v>2168</v>
      </c>
      <c r="E1141" s="1800" t="s">
        <v>55</v>
      </c>
      <c r="F1141" s="1811">
        <v>2</v>
      </c>
      <c r="G1141" s="1806">
        <v>0.2</v>
      </c>
      <c r="H1141" s="1802">
        <f>IF(E1141="H",G1141,TRUNC(G1141*(1-$K$7),2))</f>
        <v>0.19</v>
      </c>
      <c r="I1141" s="1803">
        <f t="shared" si="157"/>
        <v>0.38</v>
      </c>
      <c r="J1141" s="1795"/>
    </row>
    <row r="1142" spans="1:10">
      <c r="A1142" s="1943" t="s">
        <v>2477</v>
      </c>
      <c r="B1142" s="1944"/>
      <c r="C1142" s="1944"/>
      <c r="D1142" s="1944"/>
      <c r="E1142" s="1944"/>
      <c r="F1142" s="1944"/>
      <c r="G1142" s="1944"/>
      <c r="H1142" s="1945"/>
      <c r="I1142" s="1805">
        <f>SUM(I1138:I1141)</f>
        <v>29.47</v>
      </c>
      <c r="J1142" s="1795"/>
    </row>
    <row r="1143" spans="1:10">
      <c r="A1143" s="1929"/>
      <c r="B1143" s="1930"/>
      <c r="C1143" s="1930"/>
      <c r="D1143" s="1930"/>
      <c r="E1143" s="1930"/>
      <c r="F1143" s="1930"/>
      <c r="G1143" s="1930"/>
      <c r="H1143" s="1930"/>
      <c r="I1143" s="1931"/>
      <c r="J1143" s="1795"/>
    </row>
    <row r="1144" spans="1:10" ht="25.5" customHeight="1">
      <c r="A1144" s="1784" t="str">
        <f>'PLANILHA SEM DESON'!B180</f>
        <v>COMP ELE 36</v>
      </c>
      <c r="B1144" s="1940" t="str">
        <f>VLOOKUP(A1144,'PLANILHA SEM DESON'!$B$17:$D$1700,2,FALSE)</f>
        <v>CONDULETE PVC ENCAIXE TIPO LL 3/4"</v>
      </c>
      <c r="C1144" s="1941"/>
      <c r="D1144" s="1941"/>
      <c r="E1144" s="1941"/>
      <c r="F1144" s="1941"/>
      <c r="G1144" s="1941"/>
      <c r="H1144" s="1942"/>
      <c r="I1144" s="1785" t="str">
        <f>VLOOKUP(A1144,'PLANILHA SEM DESON'!$B$17:$D$1700,3,FALSE)</f>
        <v xml:space="preserve">un </v>
      </c>
      <c r="J1144" s="1786">
        <f>I1150</f>
        <v>28.15</v>
      </c>
    </row>
    <row r="1145" spans="1:10" ht="24">
      <c r="A1145" s="1788" t="s">
        <v>2470</v>
      </c>
      <c r="B1145" s="1789" t="s">
        <v>2471</v>
      </c>
      <c r="C1145" s="1790" t="s">
        <v>2468</v>
      </c>
      <c r="D1145" s="1791" t="s">
        <v>308</v>
      </c>
      <c r="E1145" s="1790" t="s">
        <v>202</v>
      </c>
      <c r="F1145" s="1792" t="s">
        <v>2472</v>
      </c>
      <c r="G1145" s="1790" t="s">
        <v>2473</v>
      </c>
      <c r="H1145" s="1793" t="s">
        <v>2474</v>
      </c>
      <c r="I1145" s="1794" t="s">
        <v>2475</v>
      </c>
      <c r="J1145" s="1795"/>
    </row>
    <row r="1146" spans="1:10">
      <c r="A1146" s="1797"/>
      <c r="B1146" s="1798"/>
      <c r="C1146" s="1798">
        <v>88264</v>
      </c>
      <c r="D1146" s="1799" t="s">
        <v>94</v>
      </c>
      <c r="E1146" s="1800" t="s">
        <v>57</v>
      </c>
      <c r="F1146" s="1809">
        <v>0.3523</v>
      </c>
      <c r="G1146" s="1806">
        <v>25.54</v>
      </c>
      <c r="H1146" s="1802">
        <f>IF(E1146="H",G1146,TRUNC(G1146*(1-$K$7),2))</f>
        <v>25.54</v>
      </c>
      <c r="I1146" s="1803">
        <f t="shared" ref="I1146:I1149" si="158">TRUNC(H1146*F1146,2)</f>
        <v>8.99</v>
      </c>
      <c r="J1146" s="1795"/>
    </row>
    <row r="1147" spans="1:10" ht="24">
      <c r="A1147" s="1797"/>
      <c r="B1147" s="1798"/>
      <c r="C1147" s="1798">
        <v>88247</v>
      </c>
      <c r="D1147" s="1799" t="s">
        <v>93</v>
      </c>
      <c r="E1147" s="1800" t="s">
        <v>57</v>
      </c>
      <c r="F1147" s="1809">
        <v>0.3523</v>
      </c>
      <c r="G1147" s="1806">
        <v>21</v>
      </c>
      <c r="H1147" s="1802">
        <f>IF(E1147="H",G1147,TRUNC(G1147*(1-$K$7),2))</f>
        <v>21</v>
      </c>
      <c r="I1147" s="1803">
        <f t="shared" si="158"/>
        <v>7.39</v>
      </c>
      <c r="J1147" s="1795"/>
    </row>
    <row r="1148" spans="1:10" ht="24">
      <c r="A1148" s="1797"/>
      <c r="B1148" s="1798"/>
      <c r="C1148" s="1798">
        <v>12020</v>
      </c>
      <c r="D1148" s="1799" t="s">
        <v>2209</v>
      </c>
      <c r="E1148" s="1800" t="s">
        <v>55</v>
      </c>
      <c r="F1148" s="1811">
        <v>1</v>
      </c>
      <c r="G1148" s="1806">
        <v>11.45</v>
      </c>
      <c r="H1148" s="1802">
        <f>IF(E1148="H",G1148,TRUNC(G1148*(1-$K$7),2))</f>
        <v>11.39</v>
      </c>
      <c r="I1148" s="1803">
        <f t="shared" si="158"/>
        <v>11.39</v>
      </c>
      <c r="J1148" s="1795"/>
    </row>
    <row r="1149" spans="1:10" ht="36">
      <c r="A1149" s="1797"/>
      <c r="B1149" s="1798"/>
      <c r="C1149" s="1798">
        <v>11950</v>
      </c>
      <c r="D1149" s="1799" t="s">
        <v>2168</v>
      </c>
      <c r="E1149" s="1800" t="s">
        <v>55</v>
      </c>
      <c r="F1149" s="1811">
        <v>2</v>
      </c>
      <c r="G1149" s="1806">
        <v>0.2</v>
      </c>
      <c r="H1149" s="1802">
        <f>IF(E1149="H",G1149,TRUNC(G1149*(1-$K$7),2))</f>
        <v>0.19</v>
      </c>
      <c r="I1149" s="1803">
        <f t="shared" si="158"/>
        <v>0.38</v>
      </c>
      <c r="J1149" s="1795"/>
    </row>
    <row r="1150" spans="1:10">
      <c r="A1150" s="1943" t="s">
        <v>2477</v>
      </c>
      <c r="B1150" s="1944"/>
      <c r="C1150" s="1944"/>
      <c r="D1150" s="1944"/>
      <c r="E1150" s="1944"/>
      <c r="F1150" s="1944"/>
      <c r="G1150" s="1944"/>
      <c r="H1150" s="1945"/>
      <c r="I1150" s="1805">
        <f>SUM(I1146:I1149)</f>
        <v>28.15</v>
      </c>
      <c r="J1150" s="1795"/>
    </row>
    <row r="1151" spans="1:10">
      <c r="A1151" s="1929"/>
      <c r="B1151" s="1930"/>
      <c r="C1151" s="1930"/>
      <c r="D1151" s="1930"/>
      <c r="E1151" s="1930"/>
      <c r="F1151" s="1930"/>
      <c r="G1151" s="1930"/>
      <c r="H1151" s="1930"/>
      <c r="I1151" s="1931"/>
      <c r="J1151" s="1795"/>
    </row>
    <row r="1152" spans="1:10" ht="27" customHeight="1">
      <c r="A1152" s="1784">
        <f>'PLANILHA SEM DESON'!B181</f>
        <v>91879</v>
      </c>
      <c r="B1152" s="1940" t="str">
        <f>VLOOKUP(A1152,'PLANILHA SEM DESON'!$B$17:$D$1700,2,FALSE)</f>
        <v>LUVA PARA ELETRODUTO, PVC, ROSCÁVEL, DN 25 MM (3/4"), PARA CIRCUITOS TERMINAIS, INSTALADA EM LAJE - FORNECIMENTO E INSTALAÇÃO. AF_12/2015</v>
      </c>
      <c r="C1152" s="1941"/>
      <c r="D1152" s="1941"/>
      <c r="E1152" s="1941"/>
      <c r="F1152" s="1941"/>
      <c r="G1152" s="1941"/>
      <c r="H1152" s="1942"/>
      <c r="I1152" s="1785" t="str">
        <f>VLOOKUP(A1152,'PLANILHA SEM DESON'!$B$17:$D$1700,3,FALSE)</f>
        <v xml:space="preserve">un </v>
      </c>
      <c r="J1152" s="1786">
        <f>I1157</f>
        <v>7.5</v>
      </c>
    </row>
    <row r="1153" spans="1:10" ht="24">
      <c r="A1153" s="1788" t="s">
        <v>2470</v>
      </c>
      <c r="B1153" s="1789" t="s">
        <v>2471</v>
      </c>
      <c r="C1153" s="1790" t="s">
        <v>2468</v>
      </c>
      <c r="D1153" s="1791" t="s">
        <v>308</v>
      </c>
      <c r="E1153" s="1790" t="s">
        <v>202</v>
      </c>
      <c r="F1153" s="1792" t="s">
        <v>2472</v>
      </c>
      <c r="G1153" s="1790" t="s">
        <v>2473</v>
      </c>
      <c r="H1153" s="1793" t="s">
        <v>2474</v>
      </c>
      <c r="I1153" s="1794" t="s">
        <v>2475</v>
      </c>
      <c r="J1153" s="1795"/>
    </row>
    <row r="1154" spans="1:10" ht="24">
      <c r="A1154" s="1797" t="s">
        <v>2476</v>
      </c>
      <c r="B1154" s="1798" t="s">
        <v>2479</v>
      </c>
      <c r="C1154" s="1798">
        <v>1891</v>
      </c>
      <c r="D1154" s="1799" t="s">
        <v>2696</v>
      </c>
      <c r="E1154" s="1800" t="s">
        <v>2501</v>
      </c>
      <c r="F1154" s="1807">
        <v>1</v>
      </c>
      <c r="G1154" s="1801">
        <v>1.24</v>
      </c>
      <c r="H1154" s="1802">
        <f>IF(E1154="H",G1154,TRUNC(G1154*(1-$K$7),2))</f>
        <v>1.23</v>
      </c>
      <c r="I1154" s="1803">
        <f t="shared" ref="I1154:I1156" si="159">TRUNC(H1154*F1154,2)</f>
        <v>1.23</v>
      </c>
      <c r="J1154" s="1795"/>
    </row>
    <row r="1155" spans="1:10" ht="24">
      <c r="A1155" s="1797" t="s">
        <v>2476</v>
      </c>
      <c r="B1155" s="1798" t="s">
        <v>7</v>
      </c>
      <c r="C1155" s="1798">
        <v>88247</v>
      </c>
      <c r="D1155" s="1799" t="s">
        <v>93</v>
      </c>
      <c r="E1155" s="1800" t="s">
        <v>411</v>
      </c>
      <c r="F1155" s="1807">
        <v>0.13500000000000001</v>
      </c>
      <c r="G1155" s="1801">
        <v>21</v>
      </c>
      <c r="H1155" s="1802">
        <f>IF(E1155="H",G1155,TRUNC(G1155*(1-$K$7),2))</f>
        <v>21</v>
      </c>
      <c r="I1155" s="1803">
        <f t="shared" si="159"/>
        <v>2.83</v>
      </c>
      <c r="J1155" s="1795"/>
    </row>
    <row r="1156" spans="1:10">
      <c r="A1156" s="1797" t="s">
        <v>2476</v>
      </c>
      <c r="B1156" s="1798" t="s">
        <v>7</v>
      </c>
      <c r="C1156" s="1798">
        <v>88264</v>
      </c>
      <c r="D1156" s="1799" t="s">
        <v>94</v>
      </c>
      <c r="E1156" s="1800" t="s">
        <v>411</v>
      </c>
      <c r="F1156" s="1807">
        <v>0.13500000000000001</v>
      </c>
      <c r="G1156" s="1801">
        <v>25.54</v>
      </c>
      <c r="H1156" s="1802">
        <f>IF(E1156="H",G1156,TRUNC(G1156*(1-$K$7),2))</f>
        <v>25.54</v>
      </c>
      <c r="I1156" s="1803">
        <f t="shared" si="159"/>
        <v>3.44</v>
      </c>
      <c r="J1156" s="1795"/>
    </row>
    <row r="1157" spans="1:10">
      <c r="A1157" s="1943" t="s">
        <v>2477</v>
      </c>
      <c r="B1157" s="1944"/>
      <c r="C1157" s="1944"/>
      <c r="D1157" s="1944"/>
      <c r="E1157" s="1944"/>
      <c r="F1157" s="1944"/>
      <c r="G1157" s="1944"/>
      <c r="H1157" s="1945"/>
      <c r="I1157" s="1805">
        <f>SUM(I1154:I1156)</f>
        <v>7.5</v>
      </c>
      <c r="J1157" s="1795"/>
    </row>
    <row r="1158" spans="1:10">
      <c r="A1158" s="1929"/>
      <c r="B1158" s="1930"/>
      <c r="C1158" s="1930"/>
      <c r="D1158" s="1930"/>
      <c r="E1158" s="1930"/>
      <c r="F1158" s="1930"/>
      <c r="G1158" s="1930"/>
      <c r="H1158" s="1930"/>
      <c r="I1158" s="1931"/>
      <c r="J1158" s="1795"/>
    </row>
    <row r="1159" spans="1:10" ht="25.5" customHeight="1">
      <c r="A1159" s="1784" t="str">
        <f>'PLANILHA SEM DESON'!B182</f>
        <v>COMP ELE 21</v>
      </c>
      <c r="B1159" s="1940" t="str">
        <f>VLOOKUP(A1159,'PLANILHA SEM DESON'!$B$17:$D$1700,2,FALSE)</f>
        <v>INTERRUPTOR DR TETRAPOLAR 100A</v>
      </c>
      <c r="C1159" s="1941"/>
      <c r="D1159" s="1941"/>
      <c r="E1159" s="1941"/>
      <c r="F1159" s="1941"/>
      <c r="G1159" s="1941"/>
      <c r="H1159" s="1942"/>
      <c r="I1159" s="1785" t="str">
        <f>VLOOKUP(A1159,'PLANILHA SEM DESON'!$B$17:$D$1700,3,FALSE)</f>
        <v xml:space="preserve">un </v>
      </c>
      <c r="J1159" s="1786">
        <f>I1164</f>
        <v>347.43</v>
      </c>
    </row>
    <row r="1160" spans="1:10" ht="24">
      <c r="A1160" s="1788" t="s">
        <v>2470</v>
      </c>
      <c r="B1160" s="1789" t="s">
        <v>2471</v>
      </c>
      <c r="C1160" s="1790" t="s">
        <v>2468</v>
      </c>
      <c r="D1160" s="1791" t="s">
        <v>308</v>
      </c>
      <c r="E1160" s="1790" t="s">
        <v>202</v>
      </c>
      <c r="F1160" s="1792" t="s">
        <v>2472</v>
      </c>
      <c r="G1160" s="1790" t="s">
        <v>2473</v>
      </c>
      <c r="H1160" s="1793" t="s">
        <v>2474</v>
      </c>
      <c r="I1160" s="1794" t="s">
        <v>2475</v>
      </c>
      <c r="J1160" s="1795"/>
    </row>
    <row r="1161" spans="1:10">
      <c r="A1161" s="1797"/>
      <c r="B1161" s="1798"/>
      <c r="C1161" s="1798">
        <v>88264</v>
      </c>
      <c r="D1161" s="1799" t="s">
        <v>94</v>
      </c>
      <c r="E1161" s="1800" t="s">
        <v>57</v>
      </c>
      <c r="F1161" s="1811">
        <v>0.6</v>
      </c>
      <c r="G1161" s="1806">
        <v>25.54</v>
      </c>
      <c r="H1161" s="1802">
        <f>IF(E1161="H",G1161,TRUNC(G1161*(1-$K$7),2))</f>
        <v>25.54</v>
      </c>
      <c r="I1161" s="1803">
        <f t="shared" ref="I1161:I1163" si="160">TRUNC(H1161*F1161,2)</f>
        <v>15.32</v>
      </c>
      <c r="J1161" s="1795"/>
    </row>
    <row r="1162" spans="1:10" ht="24">
      <c r="A1162" s="1797"/>
      <c r="B1162" s="1798"/>
      <c r="C1162" s="1798">
        <v>88247</v>
      </c>
      <c r="D1162" s="1799" t="s">
        <v>93</v>
      </c>
      <c r="E1162" s="1800" t="s">
        <v>57</v>
      </c>
      <c r="F1162" s="1811">
        <v>0.6</v>
      </c>
      <c r="G1162" s="1806">
        <v>21</v>
      </c>
      <c r="H1162" s="1802">
        <f>IF(E1162="H",G1162,TRUNC(G1162*(1-$K$7),2))</f>
        <v>21</v>
      </c>
      <c r="I1162" s="1803">
        <f t="shared" si="160"/>
        <v>12.6</v>
      </c>
      <c r="J1162" s="1795"/>
    </row>
    <row r="1163" spans="1:10">
      <c r="A1163" s="1797"/>
      <c r="B1163" s="1798"/>
      <c r="C1163" s="1798" t="s">
        <v>65</v>
      </c>
      <c r="D1163" s="1799" t="s">
        <v>522</v>
      </c>
      <c r="E1163" s="1800" t="s">
        <v>55</v>
      </c>
      <c r="F1163" s="1811">
        <v>1</v>
      </c>
      <c r="G1163" s="1806">
        <v>321.14999999999998</v>
      </c>
      <c r="H1163" s="1802">
        <f>IF(E1163="H",G1163,TRUNC(G1163*(1-$K$7),2))</f>
        <v>319.51</v>
      </c>
      <c r="I1163" s="1803">
        <f t="shared" si="160"/>
        <v>319.51</v>
      </c>
      <c r="J1163" s="1795"/>
    </row>
    <row r="1164" spans="1:10">
      <c r="A1164" s="1943" t="s">
        <v>2477</v>
      </c>
      <c r="B1164" s="1944"/>
      <c r="C1164" s="1944"/>
      <c r="D1164" s="1944"/>
      <c r="E1164" s="1944"/>
      <c r="F1164" s="1944"/>
      <c r="G1164" s="1944"/>
      <c r="H1164" s="1945"/>
      <c r="I1164" s="1805">
        <f>SUM(I1161:I1163)</f>
        <v>347.43</v>
      </c>
      <c r="J1164" s="1795"/>
    </row>
    <row r="1165" spans="1:10">
      <c r="A1165" s="1929"/>
      <c r="B1165" s="1930"/>
      <c r="C1165" s="1930"/>
      <c r="D1165" s="1930"/>
      <c r="E1165" s="1930"/>
      <c r="F1165" s="1930"/>
      <c r="G1165" s="1930"/>
      <c r="H1165" s="1930"/>
      <c r="I1165" s="1931"/>
      <c r="J1165" s="1795"/>
    </row>
    <row r="1166" spans="1:10" ht="25.5" customHeight="1">
      <c r="A1166" s="1784">
        <f>'PLANILHA SEM DESON'!B183</f>
        <v>91953</v>
      </c>
      <c r="B1166" s="1940" t="str">
        <f>VLOOKUP(A1166,'PLANILHA SEM DESON'!$B$17:$D$1700,2,FALSE)</f>
        <v>INTERRUPTOR SIMPLES (1 MÓDULO), 10A/250V, INCLUINDO SUPORTE E PLACA - FORNECIMENTO E INSTALAÇÃO. AF_12/2015</v>
      </c>
      <c r="C1166" s="1941"/>
      <c r="D1166" s="1941"/>
      <c r="E1166" s="1941"/>
      <c r="F1166" s="1941"/>
      <c r="G1166" s="1941"/>
      <c r="H1166" s="1942"/>
      <c r="I1166" s="1785" t="str">
        <f>VLOOKUP(A1166,'PLANILHA SEM DESON'!$B$17:$D$1700,3,FALSE)</f>
        <v xml:space="preserve">un </v>
      </c>
      <c r="J1166" s="1786">
        <f>I1170</f>
        <v>23.81</v>
      </c>
    </row>
    <row r="1167" spans="1:10" ht="24">
      <c r="A1167" s="1788" t="s">
        <v>2470</v>
      </c>
      <c r="B1167" s="1789" t="s">
        <v>2471</v>
      </c>
      <c r="C1167" s="1790" t="s">
        <v>2468</v>
      </c>
      <c r="D1167" s="1791" t="s">
        <v>308</v>
      </c>
      <c r="E1167" s="1790" t="s">
        <v>202</v>
      </c>
      <c r="F1167" s="1792" t="s">
        <v>2472</v>
      </c>
      <c r="G1167" s="1790" t="s">
        <v>2473</v>
      </c>
      <c r="H1167" s="1793" t="s">
        <v>2474</v>
      </c>
      <c r="I1167" s="1794" t="s">
        <v>2475</v>
      </c>
      <c r="J1167" s="1795"/>
    </row>
    <row r="1168" spans="1:10" ht="36">
      <c r="A1168" s="1797" t="s">
        <v>2476</v>
      </c>
      <c r="B1168" s="1798" t="s">
        <v>7</v>
      </c>
      <c r="C1168" s="1798">
        <v>91946</v>
      </c>
      <c r="D1168" s="1799" t="s">
        <v>2697</v>
      </c>
      <c r="E1168" s="1800" t="s">
        <v>2501</v>
      </c>
      <c r="F1168" s="1807">
        <v>1</v>
      </c>
      <c r="G1168" s="1801">
        <v>7.2</v>
      </c>
      <c r="H1168" s="1802">
        <f>IF(E1168="H",G1168,TRUNC(G1168*(1-$K$7),2))</f>
        <v>7.16</v>
      </c>
      <c r="I1168" s="1803">
        <f t="shared" ref="I1168:I1169" si="161">TRUNC(H1168*F1168,2)</f>
        <v>7.16</v>
      </c>
      <c r="J1168" s="1795"/>
    </row>
    <row r="1169" spans="1:10" ht="36">
      <c r="A1169" s="1797" t="s">
        <v>2476</v>
      </c>
      <c r="B1169" s="1798" t="s">
        <v>7</v>
      </c>
      <c r="C1169" s="1798">
        <v>91952</v>
      </c>
      <c r="D1169" s="1799" t="s">
        <v>2698</v>
      </c>
      <c r="E1169" s="1800" t="s">
        <v>2501</v>
      </c>
      <c r="F1169" s="1807">
        <v>1</v>
      </c>
      <c r="G1169" s="1801">
        <v>16.739999999999998</v>
      </c>
      <c r="H1169" s="1802">
        <f>IF(E1169="H",G1169,TRUNC(G1169*(1-$K$7),2))</f>
        <v>16.649999999999999</v>
      </c>
      <c r="I1169" s="1803">
        <f t="shared" si="161"/>
        <v>16.649999999999999</v>
      </c>
      <c r="J1169" s="1795"/>
    </row>
    <row r="1170" spans="1:10">
      <c r="A1170" s="1943" t="s">
        <v>2477</v>
      </c>
      <c r="B1170" s="1944"/>
      <c r="C1170" s="1944"/>
      <c r="D1170" s="1944"/>
      <c r="E1170" s="1944"/>
      <c r="F1170" s="1944"/>
      <c r="G1170" s="1944"/>
      <c r="H1170" s="1945"/>
      <c r="I1170" s="1805">
        <f>SUM(I1168:I1169)</f>
        <v>23.81</v>
      </c>
      <c r="J1170" s="1795"/>
    </row>
    <row r="1171" spans="1:10">
      <c r="A1171" s="1929"/>
      <c r="B1171" s="1930"/>
      <c r="C1171" s="1930"/>
      <c r="D1171" s="1930"/>
      <c r="E1171" s="1930"/>
      <c r="F1171" s="1930"/>
      <c r="G1171" s="1930"/>
      <c r="H1171" s="1930"/>
      <c r="I1171" s="1931"/>
      <c r="J1171" s="1795"/>
    </row>
    <row r="1172" spans="1:10" ht="25.5" customHeight="1">
      <c r="A1172" s="1784">
        <f>'PLANILHA SEM DESON'!B184</f>
        <v>91959</v>
      </c>
      <c r="B1172" s="1940" t="str">
        <f>VLOOKUP(A1172,'PLANILHA SEM DESON'!$B$17:$D$1700,2,FALSE)</f>
        <v>INTERRUPTOR SIMPLES (2 MÓDULOS), 10A/250V, INCLUINDO SUPORTE E PLACA - FORNECIMENTO E INSTALAÇÃO. AF_12/2015</v>
      </c>
      <c r="C1172" s="1941"/>
      <c r="D1172" s="1941"/>
      <c r="E1172" s="1941"/>
      <c r="F1172" s="1941"/>
      <c r="G1172" s="1941"/>
      <c r="H1172" s="1942"/>
      <c r="I1172" s="1785" t="str">
        <f>VLOOKUP(A1172,'PLANILHA SEM DESON'!$B$17:$D$1700,3,FALSE)</f>
        <v xml:space="preserve">un </v>
      </c>
      <c r="J1172" s="1786">
        <f>I1176</f>
        <v>37.71</v>
      </c>
    </row>
    <row r="1173" spans="1:10" ht="24">
      <c r="A1173" s="1788" t="s">
        <v>2470</v>
      </c>
      <c r="B1173" s="1789" t="s">
        <v>2471</v>
      </c>
      <c r="C1173" s="1790" t="s">
        <v>2468</v>
      </c>
      <c r="D1173" s="1791" t="s">
        <v>308</v>
      </c>
      <c r="E1173" s="1790" t="s">
        <v>202</v>
      </c>
      <c r="F1173" s="1792" t="s">
        <v>2472</v>
      </c>
      <c r="G1173" s="1790" t="s">
        <v>2473</v>
      </c>
      <c r="H1173" s="1793" t="s">
        <v>2474</v>
      </c>
      <c r="I1173" s="1794" t="s">
        <v>2475</v>
      </c>
      <c r="J1173" s="1795"/>
    </row>
    <row r="1174" spans="1:10" ht="36">
      <c r="A1174" s="1797" t="s">
        <v>2476</v>
      </c>
      <c r="B1174" s="1798" t="s">
        <v>7</v>
      </c>
      <c r="C1174" s="1798">
        <v>91946</v>
      </c>
      <c r="D1174" s="1799" t="s">
        <v>2697</v>
      </c>
      <c r="E1174" s="1800" t="s">
        <v>2501</v>
      </c>
      <c r="F1174" s="1807">
        <v>1</v>
      </c>
      <c r="G1174" s="1801">
        <v>7.2</v>
      </c>
      <c r="H1174" s="1802">
        <f>IF(E1174="H",G1174,TRUNC(G1174*(1-$K$7),2))</f>
        <v>7.16</v>
      </c>
      <c r="I1174" s="1803">
        <f t="shared" ref="I1174:I1175" si="162">TRUNC(H1174*F1174,2)</f>
        <v>7.16</v>
      </c>
      <c r="J1174" s="1795"/>
    </row>
    <row r="1175" spans="1:10" ht="36">
      <c r="A1175" s="1797" t="s">
        <v>2476</v>
      </c>
      <c r="B1175" s="1798" t="s">
        <v>7</v>
      </c>
      <c r="C1175" s="1798">
        <v>91958</v>
      </c>
      <c r="D1175" s="1799" t="s">
        <v>2699</v>
      </c>
      <c r="E1175" s="1800" t="s">
        <v>2501</v>
      </c>
      <c r="F1175" s="1807">
        <v>1</v>
      </c>
      <c r="G1175" s="1801">
        <v>30.71</v>
      </c>
      <c r="H1175" s="1802">
        <f>IF(E1175="H",G1175,TRUNC(G1175*(1-$K$7),2))</f>
        <v>30.55</v>
      </c>
      <c r="I1175" s="1803">
        <f t="shared" si="162"/>
        <v>30.55</v>
      </c>
      <c r="J1175" s="1795"/>
    </row>
    <row r="1176" spans="1:10">
      <c r="A1176" s="1943" t="s">
        <v>2477</v>
      </c>
      <c r="B1176" s="1944"/>
      <c r="C1176" s="1944"/>
      <c r="D1176" s="1944"/>
      <c r="E1176" s="1944"/>
      <c r="F1176" s="1944"/>
      <c r="G1176" s="1944"/>
      <c r="H1176" s="1945"/>
      <c r="I1176" s="1805">
        <f>SUM(I1174:I1175)</f>
        <v>37.71</v>
      </c>
      <c r="J1176" s="1795"/>
    </row>
    <row r="1177" spans="1:10">
      <c r="A1177" s="1929"/>
      <c r="B1177" s="1930"/>
      <c r="C1177" s="1930"/>
      <c r="D1177" s="1930"/>
      <c r="E1177" s="1930"/>
      <c r="F1177" s="1930"/>
      <c r="G1177" s="1930"/>
      <c r="H1177" s="1930"/>
      <c r="I1177" s="1931"/>
      <c r="J1177" s="1795"/>
    </row>
    <row r="1178" spans="1:10" ht="24.75" customHeight="1">
      <c r="A1178" s="1784" t="str">
        <f>'PLANILHA SEM DESON'!B185</f>
        <v>COMP ELE 22</v>
      </c>
      <c r="B1178" s="1940" t="str">
        <f>VLOOKUP(A1178,'PLANILHA SEM DESON'!$B$17:$D$1700,2,FALSE)</f>
        <v>PLACA  PARA CAIXA 2X4", COM FURO CENTRAL</v>
      </c>
      <c r="C1178" s="1941"/>
      <c r="D1178" s="1941"/>
      <c r="E1178" s="1941"/>
      <c r="F1178" s="1941"/>
      <c r="G1178" s="1941"/>
      <c r="H1178" s="1942"/>
      <c r="I1178" s="1785" t="str">
        <f>VLOOKUP(A1178,'PLANILHA SEM DESON'!$B$17:$D$1700,3,FALSE)</f>
        <v xml:space="preserve">un </v>
      </c>
      <c r="J1178" s="1786">
        <f>I1183</f>
        <v>10.57</v>
      </c>
    </row>
    <row r="1179" spans="1:10" ht="24">
      <c r="A1179" s="1788" t="s">
        <v>2470</v>
      </c>
      <c r="B1179" s="1789" t="s">
        <v>2471</v>
      </c>
      <c r="C1179" s="1790" t="s">
        <v>2468</v>
      </c>
      <c r="D1179" s="1791" t="s">
        <v>308</v>
      </c>
      <c r="E1179" s="1790" t="s">
        <v>202</v>
      </c>
      <c r="F1179" s="1792" t="s">
        <v>2472</v>
      </c>
      <c r="G1179" s="1790" t="s">
        <v>2473</v>
      </c>
      <c r="H1179" s="1793" t="s">
        <v>2474</v>
      </c>
      <c r="I1179" s="1794" t="s">
        <v>2475</v>
      </c>
      <c r="J1179" s="1795"/>
    </row>
    <row r="1180" spans="1:10">
      <c r="A1180" s="1797"/>
      <c r="B1180" s="1798"/>
      <c r="C1180" s="1798">
        <v>88264</v>
      </c>
      <c r="D1180" s="1799" t="s">
        <v>94</v>
      </c>
      <c r="E1180" s="1800" t="s">
        <v>57</v>
      </c>
      <c r="F1180" s="1811">
        <v>0.05</v>
      </c>
      <c r="G1180" s="1806">
        <v>25.54</v>
      </c>
      <c r="H1180" s="1802">
        <f>IF(E1180="H",G1180,TRUNC(G1180*(1-$K$7),2))</f>
        <v>25.54</v>
      </c>
      <c r="I1180" s="1803">
        <f t="shared" ref="I1180:I1182" si="163">TRUNC(H1180*F1180,2)</f>
        <v>1.27</v>
      </c>
      <c r="J1180" s="1795"/>
    </row>
    <row r="1181" spans="1:10" ht="24">
      <c r="A1181" s="1797"/>
      <c r="B1181" s="1798"/>
      <c r="C1181" s="1798">
        <v>88247</v>
      </c>
      <c r="D1181" s="1799" t="s">
        <v>93</v>
      </c>
      <c r="E1181" s="1800" t="s">
        <v>57</v>
      </c>
      <c r="F1181" s="1811">
        <v>0.05</v>
      </c>
      <c r="G1181" s="1806">
        <v>21</v>
      </c>
      <c r="H1181" s="1802">
        <f>IF(E1181="H",G1181,TRUNC(G1181*(1-$K$7),2))</f>
        <v>21</v>
      </c>
      <c r="I1181" s="1803">
        <f t="shared" si="163"/>
        <v>1.05</v>
      </c>
      <c r="J1181" s="1795"/>
    </row>
    <row r="1182" spans="1:10">
      <c r="A1182" s="1797"/>
      <c r="B1182" s="1798"/>
      <c r="C1182" s="1798" t="s">
        <v>65</v>
      </c>
      <c r="D1182" s="1799" t="s">
        <v>519</v>
      </c>
      <c r="E1182" s="1800" t="s">
        <v>55</v>
      </c>
      <c r="F1182" s="1811">
        <v>1</v>
      </c>
      <c r="G1182" s="1806">
        <v>8.3000000000000007</v>
      </c>
      <c r="H1182" s="1802">
        <f>IF(E1182="H",G1182,TRUNC(G1182*(1-$K$7),2))</f>
        <v>8.25</v>
      </c>
      <c r="I1182" s="1803">
        <f t="shared" si="163"/>
        <v>8.25</v>
      </c>
      <c r="J1182" s="1795"/>
    </row>
    <row r="1183" spans="1:10">
      <c r="A1183" s="1943" t="s">
        <v>2477</v>
      </c>
      <c r="B1183" s="1944"/>
      <c r="C1183" s="1944"/>
      <c r="D1183" s="1944"/>
      <c r="E1183" s="1944"/>
      <c r="F1183" s="1944"/>
      <c r="G1183" s="1944"/>
      <c r="H1183" s="1945"/>
      <c r="I1183" s="1805">
        <f>SUM(I1180:I1182)</f>
        <v>10.57</v>
      </c>
      <c r="J1183" s="1795"/>
    </row>
    <row r="1184" spans="1:10">
      <c r="A1184" s="1929"/>
      <c r="B1184" s="1930"/>
      <c r="C1184" s="1930"/>
      <c r="D1184" s="1930"/>
      <c r="E1184" s="1930"/>
      <c r="F1184" s="1930"/>
      <c r="G1184" s="1930"/>
      <c r="H1184" s="1930"/>
      <c r="I1184" s="1931"/>
      <c r="J1184" s="1795"/>
    </row>
    <row r="1185" spans="1:10" ht="25.5" customHeight="1">
      <c r="A1185" s="1784">
        <f>'PLANILHA SEM DESON'!B186</f>
        <v>91967</v>
      </c>
      <c r="B1185" s="1940" t="str">
        <f>VLOOKUP(A1185,'PLANILHA SEM DESON'!$B$17:$D$1700,2,FALSE)</f>
        <v>INTERRUPTOR SIMPLES (3 MÓDULOS), 10A/250V, INCLUINDO SUPORTE E PLACA - FORNECIMENTO E INSTALAÇÃO. AF_12/2015</v>
      </c>
      <c r="C1185" s="1941"/>
      <c r="D1185" s="1941"/>
      <c r="E1185" s="1941"/>
      <c r="F1185" s="1941"/>
      <c r="G1185" s="1941"/>
      <c r="H1185" s="1942"/>
      <c r="I1185" s="1785" t="str">
        <f>VLOOKUP(A1185,'PLANILHA SEM DESON'!$B$17:$D$1700,3,FALSE)</f>
        <v xml:space="preserve">un </v>
      </c>
      <c r="J1185" s="1786">
        <f>I1189</f>
        <v>51.59</v>
      </c>
    </row>
    <row r="1186" spans="1:10" ht="24">
      <c r="A1186" s="1788" t="s">
        <v>2470</v>
      </c>
      <c r="B1186" s="1789" t="s">
        <v>2471</v>
      </c>
      <c r="C1186" s="1790" t="s">
        <v>2468</v>
      </c>
      <c r="D1186" s="1791" t="s">
        <v>308</v>
      </c>
      <c r="E1186" s="1790" t="s">
        <v>202</v>
      </c>
      <c r="F1186" s="1792" t="s">
        <v>2472</v>
      </c>
      <c r="G1186" s="1790" t="s">
        <v>2473</v>
      </c>
      <c r="H1186" s="1793" t="s">
        <v>2474</v>
      </c>
      <c r="I1186" s="1794" t="s">
        <v>2475</v>
      </c>
      <c r="J1186" s="1795"/>
    </row>
    <row r="1187" spans="1:10" ht="36">
      <c r="A1187" s="1797" t="s">
        <v>2476</v>
      </c>
      <c r="B1187" s="1798" t="s">
        <v>7</v>
      </c>
      <c r="C1187" s="1798">
        <v>91946</v>
      </c>
      <c r="D1187" s="1799" t="s">
        <v>2697</v>
      </c>
      <c r="E1187" s="1800" t="s">
        <v>2501</v>
      </c>
      <c r="F1187" s="1807">
        <v>1</v>
      </c>
      <c r="G1187" s="1801">
        <v>7.2</v>
      </c>
      <c r="H1187" s="1802">
        <f>IF(E1187="H",G1187,TRUNC(G1187*(1-$K$7),2))</f>
        <v>7.16</v>
      </c>
      <c r="I1187" s="1803">
        <f t="shared" ref="I1187:I1188" si="164">TRUNC(H1187*F1187,2)</f>
        <v>7.16</v>
      </c>
      <c r="J1187" s="1795"/>
    </row>
    <row r="1188" spans="1:10" ht="36">
      <c r="A1188" s="1797" t="s">
        <v>2476</v>
      </c>
      <c r="B1188" s="1798" t="s">
        <v>7</v>
      </c>
      <c r="C1188" s="1798">
        <v>91966</v>
      </c>
      <c r="D1188" s="1799" t="s">
        <v>2700</v>
      </c>
      <c r="E1188" s="1800" t="s">
        <v>2501</v>
      </c>
      <c r="F1188" s="1807">
        <v>1</v>
      </c>
      <c r="G1188" s="1801">
        <v>44.66</v>
      </c>
      <c r="H1188" s="1802">
        <f>IF(E1188="H",G1188,TRUNC(G1188*(1-$K$7),2))</f>
        <v>44.43</v>
      </c>
      <c r="I1188" s="1803">
        <f t="shared" si="164"/>
        <v>44.43</v>
      </c>
      <c r="J1188" s="1795"/>
    </row>
    <row r="1189" spans="1:10">
      <c r="A1189" s="1943" t="s">
        <v>2477</v>
      </c>
      <c r="B1189" s="1944"/>
      <c r="C1189" s="1944"/>
      <c r="D1189" s="1944"/>
      <c r="E1189" s="1944"/>
      <c r="F1189" s="1944"/>
      <c r="G1189" s="1944"/>
      <c r="H1189" s="1945"/>
      <c r="I1189" s="1805">
        <f>SUM(I1187:I1188)</f>
        <v>51.59</v>
      </c>
      <c r="J1189" s="1795"/>
    </row>
    <row r="1190" spans="1:10">
      <c r="A1190" s="1929"/>
      <c r="B1190" s="1930"/>
      <c r="C1190" s="1930"/>
      <c r="D1190" s="1930"/>
      <c r="E1190" s="1930"/>
      <c r="F1190" s="1930"/>
      <c r="G1190" s="1930"/>
      <c r="H1190" s="1930"/>
      <c r="I1190" s="1931"/>
      <c r="J1190" s="1795"/>
    </row>
    <row r="1191" spans="1:10" ht="25.5" customHeight="1">
      <c r="A1191" s="1784">
        <f>'PLANILHA SEM DESON'!B187</f>
        <v>92022</v>
      </c>
      <c r="B1191" s="1940" t="str">
        <f>VLOOKUP(A1191,'PLANILHA SEM DESON'!$B$17:$D$1700,2,FALSE)</f>
        <v>INTERRUPTOR SIMPLES (1 MÓDULO) COM 1 TOMADA DE EMBUTIR 2P+T 10 A, SEM SUPORTE E SEM PLACA - FORNECIMENTO E INSTALAÇÃO. AF_12/2015</v>
      </c>
      <c r="C1191" s="1941"/>
      <c r="D1191" s="1941"/>
      <c r="E1191" s="1941"/>
      <c r="F1191" s="1941"/>
      <c r="G1191" s="1941"/>
      <c r="H1191" s="1942"/>
      <c r="I1191" s="1785" t="str">
        <f>VLOOKUP(A1191,'PLANILHA SEM DESON'!$B$17:$D$1700,3,FALSE)</f>
        <v xml:space="preserve">un </v>
      </c>
      <c r="J1191" s="1786">
        <f>I1197</f>
        <v>35.31</v>
      </c>
    </row>
    <row r="1192" spans="1:10" ht="24">
      <c r="A1192" s="1788" t="s">
        <v>2470</v>
      </c>
      <c r="B1192" s="1789" t="s">
        <v>2471</v>
      </c>
      <c r="C1192" s="1790" t="s">
        <v>2468</v>
      </c>
      <c r="D1192" s="1791" t="s">
        <v>308</v>
      </c>
      <c r="E1192" s="1790" t="s">
        <v>202</v>
      </c>
      <c r="F1192" s="1792" t="s">
        <v>2472</v>
      </c>
      <c r="G1192" s="1790" t="s">
        <v>2473</v>
      </c>
      <c r="H1192" s="1793" t="s">
        <v>2474</v>
      </c>
      <c r="I1192" s="1794" t="s">
        <v>2475</v>
      </c>
      <c r="J1192" s="1795"/>
    </row>
    <row r="1193" spans="1:10">
      <c r="A1193" s="1797" t="s">
        <v>2476</v>
      </c>
      <c r="B1193" s="1798" t="s">
        <v>2479</v>
      </c>
      <c r="C1193" s="1798">
        <v>38101</v>
      </c>
      <c r="D1193" s="1799" t="s">
        <v>2701</v>
      </c>
      <c r="E1193" s="1800" t="s">
        <v>2501</v>
      </c>
      <c r="F1193" s="1807">
        <v>1</v>
      </c>
      <c r="G1193" s="1801">
        <v>7.15</v>
      </c>
      <c r="H1193" s="1802">
        <f>IF(E1193="H",G1193,TRUNC(G1193*(1-$K$7),2))</f>
        <v>7.11</v>
      </c>
      <c r="I1193" s="1803">
        <f t="shared" ref="I1193:I1196" si="165">TRUNC(H1193*F1193,2)</f>
        <v>7.11</v>
      </c>
      <c r="J1193" s="1795"/>
    </row>
    <row r="1194" spans="1:10">
      <c r="A1194" s="1797" t="s">
        <v>2476</v>
      </c>
      <c r="B1194" s="1798" t="s">
        <v>2479</v>
      </c>
      <c r="C1194" s="1798">
        <v>38112</v>
      </c>
      <c r="D1194" s="1799" t="s">
        <v>2702</v>
      </c>
      <c r="E1194" s="1800" t="s">
        <v>2501</v>
      </c>
      <c r="F1194" s="1807">
        <v>1</v>
      </c>
      <c r="G1194" s="1801">
        <v>6.28</v>
      </c>
      <c r="H1194" s="1802">
        <f>IF(E1194="H",G1194,TRUNC(G1194*(1-$K$7),2))</f>
        <v>6.24</v>
      </c>
      <c r="I1194" s="1803">
        <f t="shared" si="165"/>
        <v>6.24</v>
      </c>
      <c r="J1194" s="1795"/>
    </row>
    <row r="1195" spans="1:10" ht="24">
      <c r="A1195" s="1797" t="s">
        <v>2476</v>
      </c>
      <c r="B1195" s="1798" t="s">
        <v>7</v>
      </c>
      <c r="C1195" s="1798">
        <v>88247</v>
      </c>
      <c r="D1195" s="1799" t="s">
        <v>93</v>
      </c>
      <c r="E1195" s="1800" t="s">
        <v>411</v>
      </c>
      <c r="F1195" s="1807">
        <v>0.47199999999999998</v>
      </c>
      <c r="G1195" s="1801">
        <v>21</v>
      </c>
      <c r="H1195" s="1802">
        <f>IF(E1195="H",G1195,TRUNC(G1195*(1-$K$7),2))</f>
        <v>21</v>
      </c>
      <c r="I1195" s="1803">
        <f t="shared" si="165"/>
        <v>9.91</v>
      </c>
      <c r="J1195" s="1795"/>
    </row>
    <row r="1196" spans="1:10">
      <c r="A1196" s="1797" t="s">
        <v>2476</v>
      </c>
      <c r="B1196" s="1798" t="s">
        <v>7</v>
      </c>
      <c r="C1196" s="1798">
        <v>88264</v>
      </c>
      <c r="D1196" s="1799" t="s">
        <v>94</v>
      </c>
      <c r="E1196" s="1800" t="s">
        <v>411</v>
      </c>
      <c r="F1196" s="1807">
        <v>0.47199999999999998</v>
      </c>
      <c r="G1196" s="1801">
        <v>25.54</v>
      </c>
      <c r="H1196" s="1802">
        <f>IF(E1196="H",G1196,TRUNC(G1196*(1-$K$7),2))</f>
        <v>25.54</v>
      </c>
      <c r="I1196" s="1803">
        <f t="shared" si="165"/>
        <v>12.05</v>
      </c>
      <c r="J1196" s="1795"/>
    </row>
    <row r="1197" spans="1:10">
      <c r="A1197" s="1943" t="s">
        <v>2477</v>
      </c>
      <c r="B1197" s="1944"/>
      <c r="C1197" s="1944"/>
      <c r="D1197" s="1944"/>
      <c r="E1197" s="1944"/>
      <c r="F1197" s="1944"/>
      <c r="G1197" s="1944"/>
      <c r="H1197" s="1945"/>
      <c r="I1197" s="1805">
        <f>SUM(I1193:I1196)</f>
        <v>35.31</v>
      </c>
      <c r="J1197" s="1795"/>
    </row>
    <row r="1198" spans="1:10">
      <c r="A1198" s="1929"/>
      <c r="B1198" s="1930"/>
      <c r="C1198" s="1930"/>
      <c r="D1198" s="1930"/>
      <c r="E1198" s="1930"/>
      <c r="F1198" s="1930"/>
      <c r="G1198" s="1930"/>
      <c r="H1198" s="1930"/>
      <c r="I1198" s="1931"/>
      <c r="J1198" s="1795"/>
    </row>
    <row r="1199" spans="1:10" ht="25.5" customHeight="1">
      <c r="A1199" s="1784">
        <f>'PLANILHA SEM DESON'!B188</f>
        <v>92028</v>
      </c>
      <c r="B1199" s="1940" t="str">
        <f>VLOOKUP(A1199,'PLANILHA SEM DESON'!$B$17:$D$1700,2,FALSE)</f>
        <v>INTERRUPTOR PARALELO (1 MÓDULO) COM 1 TOMADA DE EMBUTIR 2P+T 10 A, SEM SUPORTE E SEM PLACA - FORNECIMENTO E INSTALAÇÃO. AF_12/2015</v>
      </c>
      <c r="C1199" s="1941"/>
      <c r="D1199" s="1941"/>
      <c r="E1199" s="1941"/>
      <c r="F1199" s="1941"/>
      <c r="G1199" s="1941"/>
      <c r="H1199" s="1942"/>
      <c r="I1199" s="1785" t="str">
        <f>VLOOKUP(A1199,'PLANILHA SEM DESON'!$B$17:$D$1700,3,FALSE)</f>
        <v xml:space="preserve">un </v>
      </c>
      <c r="J1199" s="1786">
        <f>I1205</f>
        <v>41.06</v>
      </c>
    </row>
    <row r="1200" spans="1:10" ht="24">
      <c r="A1200" s="1788" t="s">
        <v>2470</v>
      </c>
      <c r="B1200" s="1789" t="s">
        <v>2471</v>
      </c>
      <c r="C1200" s="1790" t="s">
        <v>2468</v>
      </c>
      <c r="D1200" s="1791" t="s">
        <v>308</v>
      </c>
      <c r="E1200" s="1790" t="s">
        <v>202</v>
      </c>
      <c r="F1200" s="1792" t="s">
        <v>2472</v>
      </c>
      <c r="G1200" s="1790" t="s">
        <v>2473</v>
      </c>
      <c r="H1200" s="1793" t="s">
        <v>2474</v>
      </c>
      <c r="I1200" s="1794" t="s">
        <v>2475</v>
      </c>
      <c r="J1200" s="1795"/>
    </row>
    <row r="1201" spans="1:10">
      <c r="A1201" s="1797" t="s">
        <v>2476</v>
      </c>
      <c r="B1201" s="1798" t="s">
        <v>2479</v>
      </c>
      <c r="C1201" s="1798">
        <v>38101</v>
      </c>
      <c r="D1201" s="1799" t="s">
        <v>2701</v>
      </c>
      <c r="E1201" s="1800" t="s">
        <v>2501</v>
      </c>
      <c r="F1201" s="1807">
        <v>1</v>
      </c>
      <c r="G1201" s="1801">
        <v>7.15</v>
      </c>
      <c r="H1201" s="1802">
        <f>IF(E1201="H",G1201,TRUNC(G1201*(1-$K$7),2))</f>
        <v>7.11</v>
      </c>
      <c r="I1201" s="1803">
        <f t="shared" ref="I1201:I1204" si="166">TRUNC(H1201*F1201,2)</f>
        <v>7.11</v>
      </c>
      <c r="J1201" s="1795"/>
    </row>
    <row r="1202" spans="1:10">
      <c r="A1202" s="1797" t="s">
        <v>2476</v>
      </c>
      <c r="B1202" s="1798" t="s">
        <v>2479</v>
      </c>
      <c r="C1202" s="1798">
        <v>38113</v>
      </c>
      <c r="D1202" s="1799" t="s">
        <v>2703</v>
      </c>
      <c r="E1202" s="1800" t="s">
        <v>2501</v>
      </c>
      <c r="F1202" s="1807">
        <v>1</v>
      </c>
      <c r="G1202" s="1801">
        <v>8.18</v>
      </c>
      <c r="H1202" s="1802">
        <f>IF(E1202="H",G1202,TRUNC(G1202*(1-$K$7),2))</f>
        <v>8.1300000000000008</v>
      </c>
      <c r="I1202" s="1803">
        <f t="shared" si="166"/>
        <v>8.1300000000000008</v>
      </c>
      <c r="J1202" s="1795"/>
    </row>
    <row r="1203" spans="1:10" ht="24">
      <c r="A1203" s="1797" t="s">
        <v>2476</v>
      </c>
      <c r="B1203" s="1798" t="s">
        <v>7</v>
      </c>
      <c r="C1203" s="1798">
        <v>88247</v>
      </c>
      <c r="D1203" s="1799" t="s">
        <v>93</v>
      </c>
      <c r="E1203" s="1800" t="s">
        <v>411</v>
      </c>
      <c r="F1203" s="1807">
        <v>0.55500000000000005</v>
      </c>
      <c r="G1203" s="1801">
        <v>21</v>
      </c>
      <c r="H1203" s="1802">
        <f>IF(E1203="H",G1203,TRUNC(G1203*(1-$K$7),2))</f>
        <v>21</v>
      </c>
      <c r="I1203" s="1803">
        <f t="shared" si="166"/>
        <v>11.65</v>
      </c>
      <c r="J1203" s="1795"/>
    </row>
    <row r="1204" spans="1:10">
      <c r="A1204" s="1797" t="s">
        <v>2476</v>
      </c>
      <c r="B1204" s="1798" t="s">
        <v>7</v>
      </c>
      <c r="C1204" s="1798">
        <v>88264</v>
      </c>
      <c r="D1204" s="1799" t="s">
        <v>94</v>
      </c>
      <c r="E1204" s="1800" t="s">
        <v>411</v>
      </c>
      <c r="F1204" s="1807">
        <v>0.55500000000000005</v>
      </c>
      <c r="G1204" s="1801">
        <v>25.54</v>
      </c>
      <c r="H1204" s="1802">
        <f>IF(E1204="H",G1204,TRUNC(G1204*(1-$K$7),2))</f>
        <v>25.54</v>
      </c>
      <c r="I1204" s="1803">
        <f t="shared" si="166"/>
        <v>14.17</v>
      </c>
      <c r="J1204" s="1795"/>
    </row>
    <row r="1205" spans="1:10">
      <c r="A1205" s="1943" t="s">
        <v>2477</v>
      </c>
      <c r="B1205" s="1944"/>
      <c r="C1205" s="1944"/>
      <c r="D1205" s="1944"/>
      <c r="E1205" s="1944"/>
      <c r="F1205" s="1944"/>
      <c r="G1205" s="1944"/>
      <c r="H1205" s="1945"/>
      <c r="I1205" s="1805">
        <f>SUM(I1201:I1204)</f>
        <v>41.06</v>
      </c>
      <c r="J1205" s="1795"/>
    </row>
    <row r="1206" spans="1:10">
      <c r="A1206" s="1929"/>
      <c r="B1206" s="1930"/>
      <c r="C1206" s="1930"/>
      <c r="D1206" s="1930"/>
      <c r="E1206" s="1930"/>
      <c r="F1206" s="1930"/>
      <c r="G1206" s="1930"/>
      <c r="H1206" s="1930"/>
      <c r="I1206" s="1931"/>
      <c r="J1206" s="1795"/>
    </row>
    <row r="1207" spans="1:10" ht="23.25" customHeight="1">
      <c r="A1207" s="1784">
        <f>'PLANILHA SEM DESON'!B189</f>
        <v>91994</v>
      </c>
      <c r="B1207" s="1940" t="str">
        <f>VLOOKUP(A1207,'PLANILHA SEM DESON'!$B$17:$D$1700,2,FALSE)</f>
        <v>TOMADA MÉDIA DE EMBUTIR (1 MÓDULO), 2P+T 10 A, SEM SUPORTE E SEM PLACA - FORNECIMENTO E INSTALAÇÃO. AF_12/2015</v>
      </c>
      <c r="C1207" s="1941"/>
      <c r="D1207" s="1941"/>
      <c r="E1207" s="1941"/>
      <c r="F1207" s="1941"/>
      <c r="G1207" s="1941"/>
      <c r="H1207" s="1942"/>
      <c r="I1207" s="1785" t="str">
        <f>VLOOKUP(A1207,'PLANILHA SEM DESON'!$B$17:$D$1700,3,FALSE)</f>
        <v xml:space="preserve">un </v>
      </c>
      <c r="J1207" s="1786">
        <f>I1212</f>
        <v>21.43</v>
      </c>
    </row>
    <row r="1208" spans="1:10" ht="24">
      <c r="A1208" s="1788" t="s">
        <v>2470</v>
      </c>
      <c r="B1208" s="1789" t="s">
        <v>2471</v>
      </c>
      <c r="C1208" s="1790" t="s">
        <v>2468</v>
      </c>
      <c r="D1208" s="1791" t="s">
        <v>308</v>
      </c>
      <c r="E1208" s="1790" t="s">
        <v>202</v>
      </c>
      <c r="F1208" s="1792" t="s">
        <v>2472</v>
      </c>
      <c r="G1208" s="1790" t="s">
        <v>2473</v>
      </c>
      <c r="H1208" s="1793" t="s">
        <v>2474</v>
      </c>
      <c r="I1208" s="1794" t="s">
        <v>2475</v>
      </c>
      <c r="J1208" s="1795"/>
    </row>
    <row r="1209" spans="1:10">
      <c r="A1209" s="1797" t="s">
        <v>2476</v>
      </c>
      <c r="B1209" s="1798" t="s">
        <v>2479</v>
      </c>
      <c r="C1209" s="1798">
        <v>38101</v>
      </c>
      <c r="D1209" s="1799" t="s">
        <v>2701</v>
      </c>
      <c r="E1209" s="1800" t="s">
        <v>2501</v>
      </c>
      <c r="F1209" s="1807">
        <v>1</v>
      </c>
      <c r="G1209" s="1801">
        <v>7.15</v>
      </c>
      <c r="H1209" s="1802">
        <f>IF(E1209="H",G1209,TRUNC(G1209*(1-$K$7),2))</f>
        <v>7.11</v>
      </c>
      <c r="I1209" s="1803">
        <f t="shared" ref="I1209:I1211" si="167">TRUNC(H1209*F1209,2)</f>
        <v>7.11</v>
      </c>
      <c r="J1209" s="1795"/>
    </row>
    <row r="1210" spans="1:10" ht="24">
      <c r="A1210" s="1797" t="s">
        <v>2476</v>
      </c>
      <c r="B1210" s="1798" t="s">
        <v>7</v>
      </c>
      <c r="C1210" s="1798">
        <v>88247</v>
      </c>
      <c r="D1210" s="1799" t="s">
        <v>93</v>
      </c>
      <c r="E1210" s="1800" t="s">
        <v>411</v>
      </c>
      <c r="F1210" s="1807">
        <v>0.308</v>
      </c>
      <c r="G1210" s="1801">
        <v>21</v>
      </c>
      <c r="H1210" s="1802">
        <f>IF(E1210="H",G1210,TRUNC(G1210*(1-$K$7),2))</f>
        <v>21</v>
      </c>
      <c r="I1210" s="1803">
        <f t="shared" si="167"/>
        <v>6.46</v>
      </c>
      <c r="J1210" s="1795"/>
    </row>
    <row r="1211" spans="1:10">
      <c r="A1211" s="1797" t="s">
        <v>2476</v>
      </c>
      <c r="B1211" s="1798" t="s">
        <v>7</v>
      </c>
      <c r="C1211" s="1798">
        <v>88264</v>
      </c>
      <c r="D1211" s="1799" t="s">
        <v>94</v>
      </c>
      <c r="E1211" s="1800" t="s">
        <v>411</v>
      </c>
      <c r="F1211" s="1807">
        <v>0.308</v>
      </c>
      <c r="G1211" s="1801">
        <v>25.54</v>
      </c>
      <c r="H1211" s="1802">
        <f>IF(E1211="H",G1211,TRUNC(G1211*(1-$K$7),2))</f>
        <v>25.54</v>
      </c>
      <c r="I1211" s="1803">
        <f t="shared" si="167"/>
        <v>7.86</v>
      </c>
      <c r="J1211" s="1795"/>
    </row>
    <row r="1212" spans="1:10">
      <c r="A1212" s="1943" t="s">
        <v>2477</v>
      </c>
      <c r="B1212" s="1944"/>
      <c r="C1212" s="1944"/>
      <c r="D1212" s="1944"/>
      <c r="E1212" s="1944"/>
      <c r="F1212" s="1944"/>
      <c r="G1212" s="1944"/>
      <c r="H1212" s="1945"/>
      <c r="I1212" s="1805">
        <f>SUM(I1209:I1211)</f>
        <v>21.43</v>
      </c>
      <c r="J1212" s="1795"/>
    </row>
    <row r="1213" spans="1:10">
      <c r="A1213" s="1929"/>
      <c r="B1213" s="1930"/>
      <c r="C1213" s="1930"/>
      <c r="D1213" s="1930"/>
      <c r="E1213" s="1930"/>
      <c r="F1213" s="1930"/>
      <c r="G1213" s="1930"/>
      <c r="H1213" s="1930"/>
      <c r="I1213" s="1931"/>
      <c r="J1213" s="1795"/>
    </row>
    <row r="1214" spans="1:10" ht="27.75" customHeight="1">
      <c r="A1214" s="1784">
        <f>'PLANILHA SEM DESON'!B190</f>
        <v>92000</v>
      </c>
      <c r="B1214" s="1940" t="str">
        <f>VLOOKUP(A1214,'PLANILHA SEM DESON'!$B$17:$D$1700,2,FALSE)</f>
        <v>TOMADA BAIXA DE EMBUTIR (1 MÓDULO), 2P+T - 10A, INCLUINDO SUPORTE E PLACA - FORNECIMENTO E INSTALAÇÃO. AF_12/2015</v>
      </c>
      <c r="C1214" s="1941"/>
      <c r="D1214" s="1941"/>
      <c r="E1214" s="1941"/>
      <c r="F1214" s="1941"/>
      <c r="G1214" s="1941"/>
      <c r="H1214" s="1942"/>
      <c r="I1214" s="1785" t="str">
        <f>VLOOKUP(A1214,'PLANILHA SEM DESON'!$B$17:$D$1700,3,FALSE)</f>
        <v xml:space="preserve">un </v>
      </c>
      <c r="J1214" s="1786">
        <f>I1218</f>
        <v>25.14</v>
      </c>
    </row>
    <row r="1215" spans="1:10" ht="24">
      <c r="A1215" s="1788" t="s">
        <v>2470</v>
      </c>
      <c r="B1215" s="1789" t="s">
        <v>2471</v>
      </c>
      <c r="C1215" s="1790" t="s">
        <v>2468</v>
      </c>
      <c r="D1215" s="1791" t="s">
        <v>308</v>
      </c>
      <c r="E1215" s="1790" t="s">
        <v>202</v>
      </c>
      <c r="F1215" s="1792" t="s">
        <v>2472</v>
      </c>
      <c r="G1215" s="1790" t="s">
        <v>2473</v>
      </c>
      <c r="H1215" s="1793" t="s">
        <v>2474</v>
      </c>
      <c r="I1215" s="1794" t="s">
        <v>2475</v>
      </c>
      <c r="J1215" s="1795"/>
    </row>
    <row r="1216" spans="1:10" ht="36">
      <c r="A1216" s="1797" t="s">
        <v>2476</v>
      </c>
      <c r="B1216" s="1798" t="s">
        <v>7</v>
      </c>
      <c r="C1216" s="1798">
        <v>91946</v>
      </c>
      <c r="D1216" s="1799" t="s">
        <v>2697</v>
      </c>
      <c r="E1216" s="1800" t="s">
        <v>2501</v>
      </c>
      <c r="F1216" s="1807">
        <v>1</v>
      </c>
      <c r="G1216" s="1801">
        <v>7.2</v>
      </c>
      <c r="H1216" s="1802">
        <f>IF(E1216="H",G1216,TRUNC(G1216*(1-$K$7),2))</f>
        <v>7.16</v>
      </c>
      <c r="I1216" s="1803">
        <f t="shared" ref="I1216:I1217" si="168">TRUNC(H1216*F1216,2)</f>
        <v>7.16</v>
      </c>
      <c r="J1216" s="1795"/>
    </row>
    <row r="1217" spans="1:10" ht="36">
      <c r="A1217" s="1797" t="s">
        <v>2476</v>
      </c>
      <c r="B1217" s="1798" t="s">
        <v>7</v>
      </c>
      <c r="C1217" s="1798">
        <v>91998</v>
      </c>
      <c r="D1217" s="1799" t="s">
        <v>2704</v>
      </c>
      <c r="E1217" s="1800" t="s">
        <v>2501</v>
      </c>
      <c r="F1217" s="1807">
        <v>1</v>
      </c>
      <c r="G1217" s="1801">
        <v>18.079999999999998</v>
      </c>
      <c r="H1217" s="1802">
        <f>IF(E1217="H",G1217,TRUNC(G1217*(1-$K$7),2))</f>
        <v>17.98</v>
      </c>
      <c r="I1217" s="1803">
        <f t="shared" si="168"/>
        <v>17.98</v>
      </c>
      <c r="J1217" s="1795"/>
    </row>
    <row r="1218" spans="1:10">
      <c r="A1218" s="1943" t="s">
        <v>2477</v>
      </c>
      <c r="B1218" s="1944"/>
      <c r="C1218" s="1944"/>
      <c r="D1218" s="1944"/>
      <c r="E1218" s="1944"/>
      <c r="F1218" s="1944"/>
      <c r="G1218" s="1944"/>
      <c r="H1218" s="1945"/>
      <c r="I1218" s="1805">
        <f>SUM(I1216:I1217)</f>
        <v>25.14</v>
      </c>
      <c r="J1218" s="1795"/>
    </row>
    <row r="1219" spans="1:10">
      <c r="A1219" s="1929"/>
      <c r="B1219" s="1930"/>
      <c r="C1219" s="1930"/>
      <c r="D1219" s="1930"/>
      <c r="E1219" s="1930"/>
      <c r="F1219" s="1930"/>
      <c r="G1219" s="1930"/>
      <c r="H1219" s="1930"/>
      <c r="I1219" s="1931"/>
      <c r="J1219" s="1795"/>
    </row>
    <row r="1220" spans="1:10" ht="30" customHeight="1">
      <c r="A1220" s="1784">
        <f>'PLANILHA SEM DESON'!B191</f>
        <v>91997</v>
      </c>
      <c r="B1220" s="1940" t="str">
        <f>VLOOKUP(A1220,'PLANILHA SEM DESON'!$B$17:$D$1700,2,FALSE)</f>
        <v>TOMADA MÉDIA DE EMBUTIR (1 MÓDULO), 2P+T - 10A, INCLUINDO SUPORTE E PLACA - FORNECIMENTO E INSTALAÇÃO. AF_12/2015</v>
      </c>
      <c r="C1220" s="1941"/>
      <c r="D1220" s="1941"/>
      <c r="E1220" s="1941"/>
      <c r="F1220" s="1941"/>
      <c r="G1220" s="1941"/>
      <c r="H1220" s="1942"/>
      <c r="I1220" s="1785" t="str">
        <f>VLOOKUP(A1220,'PLANILHA SEM DESON'!$B$17:$D$1700,3,FALSE)</f>
        <v xml:space="preserve">un </v>
      </c>
      <c r="J1220" s="1786">
        <f>I1224</f>
        <v>30.5</v>
      </c>
    </row>
    <row r="1221" spans="1:10" ht="24">
      <c r="A1221" s="1788" t="s">
        <v>2470</v>
      </c>
      <c r="B1221" s="1789" t="s">
        <v>2471</v>
      </c>
      <c r="C1221" s="1790" t="s">
        <v>2468</v>
      </c>
      <c r="D1221" s="1791" t="s">
        <v>308</v>
      </c>
      <c r="E1221" s="1790" t="s">
        <v>202</v>
      </c>
      <c r="F1221" s="1792" t="s">
        <v>2472</v>
      </c>
      <c r="G1221" s="1790" t="s">
        <v>2473</v>
      </c>
      <c r="H1221" s="1793" t="s">
        <v>2474</v>
      </c>
      <c r="I1221" s="1794" t="s">
        <v>2475</v>
      </c>
      <c r="J1221" s="1795"/>
    </row>
    <row r="1222" spans="1:10" ht="36">
      <c r="A1222" s="1797" t="s">
        <v>2476</v>
      </c>
      <c r="B1222" s="1798" t="s">
        <v>7</v>
      </c>
      <c r="C1222" s="1798">
        <v>91946</v>
      </c>
      <c r="D1222" s="1799" t="s">
        <v>2697</v>
      </c>
      <c r="E1222" s="1800" t="s">
        <v>2501</v>
      </c>
      <c r="F1222" s="1807">
        <v>1</v>
      </c>
      <c r="G1222" s="1801">
        <v>7.2</v>
      </c>
      <c r="H1222" s="1802">
        <f>IF(E1222="H",G1222,TRUNC(G1222*(1-$K$7),2))</f>
        <v>7.16</v>
      </c>
      <c r="I1222" s="1803">
        <f t="shared" ref="I1222:I1223" si="169">TRUNC(H1222*F1222,2)</f>
        <v>7.16</v>
      </c>
      <c r="J1222" s="1795"/>
    </row>
    <row r="1223" spans="1:10" ht="36">
      <c r="A1223" s="1797" t="s">
        <v>2476</v>
      </c>
      <c r="B1223" s="1798" t="s">
        <v>7</v>
      </c>
      <c r="C1223" s="1798">
        <v>91995</v>
      </c>
      <c r="D1223" s="1799" t="s">
        <v>2705</v>
      </c>
      <c r="E1223" s="1800" t="s">
        <v>2501</v>
      </c>
      <c r="F1223" s="1807">
        <v>1</v>
      </c>
      <c r="G1223" s="1801">
        <v>23.46</v>
      </c>
      <c r="H1223" s="1802">
        <f>IF(E1223="H",G1223,TRUNC(G1223*(1-$K$7),2))</f>
        <v>23.34</v>
      </c>
      <c r="I1223" s="1803">
        <f t="shared" si="169"/>
        <v>23.34</v>
      </c>
      <c r="J1223" s="1795"/>
    </row>
    <row r="1224" spans="1:10">
      <c r="A1224" s="1943" t="s">
        <v>2477</v>
      </c>
      <c r="B1224" s="1944"/>
      <c r="C1224" s="1944"/>
      <c r="D1224" s="1944"/>
      <c r="E1224" s="1944"/>
      <c r="F1224" s="1944"/>
      <c r="G1224" s="1944"/>
      <c r="H1224" s="1945"/>
      <c r="I1224" s="1805">
        <f>SUM(I1222:I1223)</f>
        <v>30.5</v>
      </c>
      <c r="J1224" s="1795"/>
    </row>
    <row r="1225" spans="1:10">
      <c r="A1225" s="1929"/>
      <c r="B1225" s="1930"/>
      <c r="C1225" s="1930"/>
      <c r="D1225" s="1930"/>
      <c r="E1225" s="1930"/>
      <c r="F1225" s="1930"/>
      <c r="G1225" s="1930"/>
      <c r="H1225" s="1930"/>
      <c r="I1225" s="1931"/>
      <c r="J1225" s="1795"/>
    </row>
    <row r="1226" spans="1:10" ht="27" customHeight="1">
      <c r="A1226" s="1784">
        <f>'PLANILHA SEM DESON'!B192</f>
        <v>91992</v>
      </c>
      <c r="B1226" s="1940" t="str">
        <f>VLOOKUP(A1226,'PLANILHA SEM DESON'!$B$17:$D$1700,2,FALSE)</f>
        <v>TOMADA ALTA DE EMBUTIR (1 MÓDULO), 2P+T - 10A, INCLUINDO SUPORTE E PLACA - FORNECIMENTO E INSTALAÇÃO. AF_12/2015</v>
      </c>
      <c r="C1226" s="1941"/>
      <c r="D1226" s="1941"/>
      <c r="E1226" s="1941"/>
      <c r="F1226" s="1941"/>
      <c r="G1226" s="1941"/>
      <c r="H1226" s="1942"/>
      <c r="I1226" s="1785" t="str">
        <f>VLOOKUP(A1226,'PLANILHA SEM DESON'!$B$17:$D$1700,3,FALSE)</f>
        <v xml:space="preserve">un </v>
      </c>
      <c r="J1226" s="1786">
        <f>I1230</f>
        <v>37.22</v>
      </c>
    </row>
    <row r="1227" spans="1:10" ht="24">
      <c r="A1227" s="1788" t="s">
        <v>2470</v>
      </c>
      <c r="B1227" s="1789" t="s">
        <v>2471</v>
      </c>
      <c r="C1227" s="1790" t="s">
        <v>2468</v>
      </c>
      <c r="D1227" s="1791" t="s">
        <v>308</v>
      </c>
      <c r="E1227" s="1790" t="s">
        <v>202</v>
      </c>
      <c r="F1227" s="1792" t="s">
        <v>2472</v>
      </c>
      <c r="G1227" s="1790" t="s">
        <v>2473</v>
      </c>
      <c r="H1227" s="1793" t="s">
        <v>2474</v>
      </c>
      <c r="I1227" s="1794" t="s">
        <v>2475</v>
      </c>
      <c r="J1227" s="1795"/>
    </row>
    <row r="1228" spans="1:10" ht="36">
      <c r="A1228" s="1797" t="s">
        <v>2476</v>
      </c>
      <c r="B1228" s="1798" t="s">
        <v>7</v>
      </c>
      <c r="C1228" s="1798">
        <v>91946</v>
      </c>
      <c r="D1228" s="1799" t="s">
        <v>2697</v>
      </c>
      <c r="E1228" s="1800" t="s">
        <v>2501</v>
      </c>
      <c r="F1228" s="1807">
        <v>1</v>
      </c>
      <c r="G1228" s="1801">
        <v>7.2</v>
      </c>
      <c r="H1228" s="1802">
        <f>IF(E1228="H",G1228,TRUNC(G1228*(1-$K$7),2))</f>
        <v>7.16</v>
      </c>
      <c r="I1228" s="1803">
        <f t="shared" ref="I1228:I1229" si="170">TRUNC(H1228*F1228,2)</f>
        <v>7.16</v>
      </c>
      <c r="J1228" s="1795"/>
    </row>
    <row r="1229" spans="1:10" ht="36">
      <c r="A1229" s="1797" t="s">
        <v>2476</v>
      </c>
      <c r="B1229" s="1798" t="s">
        <v>7</v>
      </c>
      <c r="C1229" s="1798">
        <v>91990</v>
      </c>
      <c r="D1229" s="1799" t="s">
        <v>2706</v>
      </c>
      <c r="E1229" s="1800" t="s">
        <v>2501</v>
      </c>
      <c r="F1229" s="1807">
        <v>1</v>
      </c>
      <c r="G1229" s="1801">
        <v>30.22</v>
      </c>
      <c r="H1229" s="1802">
        <f>IF(E1229="H",G1229,TRUNC(G1229*(1-$K$7),2))</f>
        <v>30.06</v>
      </c>
      <c r="I1229" s="1803">
        <f t="shared" si="170"/>
        <v>30.06</v>
      </c>
      <c r="J1229" s="1795"/>
    </row>
    <row r="1230" spans="1:10">
      <c r="A1230" s="1943" t="s">
        <v>2477</v>
      </c>
      <c r="B1230" s="1944"/>
      <c r="C1230" s="1944"/>
      <c r="D1230" s="1944"/>
      <c r="E1230" s="1944"/>
      <c r="F1230" s="1944"/>
      <c r="G1230" s="1944"/>
      <c r="H1230" s="1945"/>
      <c r="I1230" s="1805">
        <f>SUM(I1228:I1229)</f>
        <v>37.22</v>
      </c>
      <c r="J1230" s="1795"/>
    </row>
    <row r="1231" spans="1:10">
      <c r="A1231" s="1929"/>
      <c r="B1231" s="1930"/>
      <c r="C1231" s="1930"/>
      <c r="D1231" s="1930"/>
      <c r="E1231" s="1930"/>
      <c r="F1231" s="1930"/>
      <c r="G1231" s="1930"/>
      <c r="H1231" s="1930"/>
      <c r="I1231" s="1931"/>
      <c r="J1231" s="1795"/>
    </row>
    <row r="1232" spans="1:10" ht="27" customHeight="1">
      <c r="A1232" s="1784">
        <f>'PLANILHA SEM DESON'!B193</f>
        <v>92009</v>
      </c>
      <c r="B1232" s="1940" t="str">
        <f>VLOOKUP(A1232,'PLANILHA SEM DESON'!$B$17:$D$1700,2,FALSE)</f>
        <v xml:space="preserve">TOMADA BAIXA DE EMBUTIR (2 MÓDULOS), 2P+T - 10A, INCLUINDO SUPORTE E PLACA - FORNECIMENTO E INSTALAÇÃO. </v>
      </c>
      <c r="C1232" s="1941"/>
      <c r="D1232" s="1941"/>
      <c r="E1232" s="1941"/>
      <c r="F1232" s="1941"/>
      <c r="G1232" s="1941"/>
      <c r="H1232" s="1942"/>
      <c r="I1232" s="1785" t="str">
        <f>VLOOKUP(A1232,'PLANILHA SEM DESON'!$B$17:$D$1700,3,FALSE)</f>
        <v xml:space="preserve">un </v>
      </c>
      <c r="J1232" s="1786">
        <f>I1236</f>
        <v>44.260000000000005</v>
      </c>
    </row>
    <row r="1233" spans="1:10" ht="24">
      <c r="A1233" s="1788" t="s">
        <v>2470</v>
      </c>
      <c r="B1233" s="1789" t="s">
        <v>2471</v>
      </c>
      <c r="C1233" s="1790" t="s">
        <v>2468</v>
      </c>
      <c r="D1233" s="1791" t="s">
        <v>308</v>
      </c>
      <c r="E1233" s="1790" t="s">
        <v>202</v>
      </c>
      <c r="F1233" s="1792" t="s">
        <v>2472</v>
      </c>
      <c r="G1233" s="1790" t="s">
        <v>2473</v>
      </c>
      <c r="H1233" s="1793" t="s">
        <v>2474</v>
      </c>
      <c r="I1233" s="1794" t="s">
        <v>2475</v>
      </c>
      <c r="J1233" s="1795"/>
    </row>
    <row r="1234" spans="1:10" ht="36">
      <c r="A1234" s="1797" t="s">
        <v>2476</v>
      </c>
      <c r="B1234" s="1798" t="s">
        <v>7</v>
      </c>
      <c r="C1234" s="1798">
        <v>91946</v>
      </c>
      <c r="D1234" s="1799" t="s">
        <v>2697</v>
      </c>
      <c r="E1234" s="1800" t="s">
        <v>2501</v>
      </c>
      <c r="F1234" s="1807">
        <v>1</v>
      </c>
      <c r="G1234" s="1801">
        <v>7.2</v>
      </c>
      <c r="H1234" s="1802">
        <f>IF(E1234="H",G1234,TRUNC(G1234*(1-$K$7),2))</f>
        <v>7.16</v>
      </c>
      <c r="I1234" s="1803">
        <f t="shared" ref="I1234:I1235" si="171">TRUNC(H1234*F1234,2)</f>
        <v>7.16</v>
      </c>
      <c r="J1234" s="1795"/>
    </row>
    <row r="1235" spans="1:10" ht="36">
      <c r="A1235" s="1797" t="s">
        <v>2476</v>
      </c>
      <c r="B1235" s="1798" t="s">
        <v>7</v>
      </c>
      <c r="C1235" s="1798">
        <v>92007</v>
      </c>
      <c r="D1235" s="1799" t="s">
        <v>2707</v>
      </c>
      <c r="E1235" s="1800" t="s">
        <v>2501</v>
      </c>
      <c r="F1235" s="1807">
        <v>1</v>
      </c>
      <c r="G1235" s="1801">
        <v>37.299999999999997</v>
      </c>
      <c r="H1235" s="1802">
        <f>IF(E1235="H",G1235,TRUNC(G1235*(1-$K$7),2))</f>
        <v>37.1</v>
      </c>
      <c r="I1235" s="1803">
        <f t="shared" si="171"/>
        <v>37.1</v>
      </c>
      <c r="J1235" s="1795"/>
    </row>
    <row r="1236" spans="1:10">
      <c r="A1236" s="1943" t="s">
        <v>2477</v>
      </c>
      <c r="B1236" s="1944"/>
      <c r="C1236" s="1944"/>
      <c r="D1236" s="1944"/>
      <c r="E1236" s="1944"/>
      <c r="F1236" s="1944"/>
      <c r="G1236" s="1944"/>
      <c r="H1236" s="1945"/>
      <c r="I1236" s="1805">
        <f>SUM(I1234:I1235)</f>
        <v>44.260000000000005</v>
      </c>
      <c r="J1236" s="1795"/>
    </row>
    <row r="1237" spans="1:10">
      <c r="A1237" s="1929"/>
      <c r="B1237" s="1930"/>
      <c r="C1237" s="1930"/>
      <c r="D1237" s="1930"/>
      <c r="E1237" s="1930"/>
      <c r="F1237" s="1930"/>
      <c r="G1237" s="1930"/>
      <c r="H1237" s="1930"/>
      <c r="I1237" s="1931"/>
      <c r="J1237" s="1795"/>
    </row>
    <row r="1238" spans="1:10" ht="32.25" customHeight="1">
      <c r="A1238" s="1784">
        <f>'PLANILHA SEM DESON'!B194</f>
        <v>93653</v>
      </c>
      <c r="B1238" s="1940" t="str">
        <f>VLOOKUP(A1238,'PLANILHA SEM DESON'!$B$17:$D$1700,2,FALSE)</f>
        <v>DISJUNTOR MONOPOLAR TIPO DIN, CORRENTE NOMINAL DE 10A - FORNECIMENTO E INSTALAÇÃO. AF_10/2020</v>
      </c>
      <c r="C1238" s="1941"/>
      <c r="D1238" s="1941"/>
      <c r="E1238" s="1941"/>
      <c r="F1238" s="1941"/>
      <c r="G1238" s="1941"/>
      <c r="H1238" s="1942"/>
      <c r="I1238" s="1785" t="str">
        <f>VLOOKUP(A1238,'PLANILHA SEM DESON'!$B$17:$D$1700,3,FALSE)</f>
        <v xml:space="preserve">un </v>
      </c>
      <c r="J1238" s="1786">
        <f>I1244</f>
        <v>12.540000000000001</v>
      </c>
    </row>
    <row r="1239" spans="1:10" ht="24">
      <c r="A1239" s="1788" t="s">
        <v>2470</v>
      </c>
      <c r="B1239" s="1789" t="s">
        <v>2471</v>
      </c>
      <c r="C1239" s="1790" t="s">
        <v>2468</v>
      </c>
      <c r="D1239" s="1791" t="s">
        <v>308</v>
      </c>
      <c r="E1239" s="1790" t="s">
        <v>202</v>
      </c>
      <c r="F1239" s="1792" t="s">
        <v>2472</v>
      </c>
      <c r="G1239" s="1790" t="s">
        <v>2473</v>
      </c>
      <c r="H1239" s="1793" t="s">
        <v>2474</v>
      </c>
      <c r="I1239" s="1794" t="s">
        <v>2475</v>
      </c>
      <c r="J1239" s="1795"/>
    </row>
    <row r="1240" spans="1:10" ht="36">
      <c r="A1240" s="1797" t="s">
        <v>2476</v>
      </c>
      <c r="B1240" s="1798" t="s">
        <v>2479</v>
      </c>
      <c r="C1240" s="1798">
        <v>1570</v>
      </c>
      <c r="D1240" s="1799" t="s">
        <v>2708</v>
      </c>
      <c r="E1240" s="1800" t="s">
        <v>2501</v>
      </c>
      <c r="F1240" s="1807">
        <v>1</v>
      </c>
      <c r="G1240" s="1801">
        <v>0.96</v>
      </c>
      <c r="H1240" s="1802">
        <f>IF(E1240="H",G1240,TRUNC(G1240*(1-$K$7),2))</f>
        <v>0.95</v>
      </c>
      <c r="I1240" s="1803">
        <f t="shared" ref="I1240:I1243" si="172">TRUNC(H1240*F1240,2)</f>
        <v>0.95</v>
      </c>
      <c r="J1240" s="1795"/>
    </row>
    <row r="1241" spans="1:10">
      <c r="A1241" s="1797" t="s">
        <v>2476</v>
      </c>
      <c r="B1241" s="1798" t="s">
        <v>2479</v>
      </c>
      <c r="C1241" s="1798">
        <v>34653</v>
      </c>
      <c r="D1241" s="1799" t="s">
        <v>2709</v>
      </c>
      <c r="E1241" s="1800" t="s">
        <v>2501</v>
      </c>
      <c r="F1241" s="1807">
        <v>1</v>
      </c>
      <c r="G1241" s="1801">
        <v>10.029999999999999</v>
      </c>
      <c r="H1241" s="1802">
        <f>IF(E1241="H",G1241,TRUNC(G1241*(1-$K$7),2))</f>
        <v>9.9700000000000006</v>
      </c>
      <c r="I1241" s="1803">
        <f t="shared" si="172"/>
        <v>9.9700000000000006</v>
      </c>
      <c r="J1241" s="1795"/>
    </row>
    <row r="1242" spans="1:10" ht="24">
      <c r="A1242" s="1797" t="s">
        <v>2476</v>
      </c>
      <c r="B1242" s="1798" t="s">
        <v>7</v>
      </c>
      <c r="C1242" s="1798">
        <v>88247</v>
      </c>
      <c r="D1242" s="1799" t="s">
        <v>93</v>
      </c>
      <c r="E1242" s="1800" t="s">
        <v>411</v>
      </c>
      <c r="F1242" s="1807">
        <v>3.5200000000000002E-2</v>
      </c>
      <c r="G1242" s="1801">
        <v>21</v>
      </c>
      <c r="H1242" s="1802">
        <f>IF(E1242="H",G1242,TRUNC(G1242*(1-$K$7),2))</f>
        <v>21</v>
      </c>
      <c r="I1242" s="1803">
        <f t="shared" si="172"/>
        <v>0.73</v>
      </c>
      <c r="J1242" s="1795"/>
    </row>
    <row r="1243" spans="1:10">
      <c r="A1243" s="1797" t="s">
        <v>2476</v>
      </c>
      <c r="B1243" s="1798" t="s">
        <v>7</v>
      </c>
      <c r="C1243" s="1798">
        <v>88264</v>
      </c>
      <c r="D1243" s="1799" t="s">
        <v>94</v>
      </c>
      <c r="E1243" s="1800" t="s">
        <v>411</v>
      </c>
      <c r="F1243" s="1807">
        <v>3.5200000000000002E-2</v>
      </c>
      <c r="G1243" s="1801">
        <v>25.54</v>
      </c>
      <c r="H1243" s="1802">
        <f>IF(E1243="H",G1243,TRUNC(G1243*(1-$K$7),2))</f>
        <v>25.54</v>
      </c>
      <c r="I1243" s="1803">
        <f t="shared" si="172"/>
        <v>0.89</v>
      </c>
      <c r="J1243" s="1795"/>
    </row>
    <row r="1244" spans="1:10">
      <c r="A1244" s="1943" t="s">
        <v>2477</v>
      </c>
      <c r="B1244" s="1944"/>
      <c r="C1244" s="1944"/>
      <c r="D1244" s="1944"/>
      <c r="E1244" s="1944"/>
      <c r="F1244" s="1944"/>
      <c r="G1244" s="1944"/>
      <c r="H1244" s="1945"/>
      <c r="I1244" s="1805">
        <f>SUM(I1240:I1243)</f>
        <v>12.540000000000001</v>
      </c>
      <c r="J1244" s="1795"/>
    </row>
    <row r="1245" spans="1:10">
      <c r="A1245" s="1929"/>
      <c r="B1245" s="1930"/>
      <c r="C1245" s="1930"/>
      <c r="D1245" s="1930"/>
      <c r="E1245" s="1930"/>
      <c r="F1245" s="1930"/>
      <c r="G1245" s="1930"/>
      <c r="H1245" s="1930"/>
      <c r="I1245" s="1931"/>
      <c r="J1245" s="1795"/>
    </row>
    <row r="1246" spans="1:10">
      <c r="A1246" s="1784">
        <f>'PLANILHA SEM DESON'!B195</f>
        <v>93661</v>
      </c>
      <c r="B1246" s="1940" t="str">
        <f>VLOOKUP(A1246,'PLANILHA SEM DESON'!$B$17:$D$1700,2,FALSE)</f>
        <v>DISJUNTOR BIPOLAR TIPO DIN, CORRENTE NOMINAL DE 16A - FORNECIMENTO E INSTALAÇÃO. AF_10/2020</v>
      </c>
      <c r="C1246" s="1941"/>
      <c r="D1246" s="1941"/>
      <c r="E1246" s="1941"/>
      <c r="F1246" s="1941"/>
      <c r="G1246" s="1941"/>
      <c r="H1246" s="1942"/>
      <c r="I1246" s="1785" t="str">
        <f>VLOOKUP(A1246,'PLANILHA SEM DESON'!$B$17:$D$1700,3,FALSE)</f>
        <v xml:space="preserve">un </v>
      </c>
      <c r="J1246" s="1786">
        <f>I1252</f>
        <v>63.51</v>
      </c>
    </row>
    <row r="1247" spans="1:10" ht="24">
      <c r="A1247" s="1788" t="s">
        <v>2470</v>
      </c>
      <c r="B1247" s="1789" t="s">
        <v>2471</v>
      </c>
      <c r="C1247" s="1790" t="s">
        <v>2468</v>
      </c>
      <c r="D1247" s="1791" t="s">
        <v>308</v>
      </c>
      <c r="E1247" s="1790" t="s">
        <v>202</v>
      </c>
      <c r="F1247" s="1792" t="s">
        <v>2472</v>
      </c>
      <c r="G1247" s="1790" t="s">
        <v>2473</v>
      </c>
      <c r="H1247" s="1793" t="s">
        <v>2474</v>
      </c>
      <c r="I1247" s="1794" t="s">
        <v>2475</v>
      </c>
      <c r="J1247" s="1795"/>
    </row>
    <row r="1248" spans="1:10" ht="36">
      <c r="A1248" s="1797" t="s">
        <v>2476</v>
      </c>
      <c r="B1248" s="1798" t="s">
        <v>2479</v>
      </c>
      <c r="C1248" s="1798">
        <v>1570</v>
      </c>
      <c r="D1248" s="1799" t="s">
        <v>2708</v>
      </c>
      <c r="E1248" s="1800" t="s">
        <v>2501</v>
      </c>
      <c r="F1248" s="1807">
        <v>2</v>
      </c>
      <c r="G1248" s="1801">
        <v>0.96</v>
      </c>
      <c r="H1248" s="1802">
        <f>IF(E1248="H",G1248,TRUNC(G1248*(1-$K$7),2))</f>
        <v>0.95</v>
      </c>
      <c r="I1248" s="1803">
        <f t="shared" ref="I1248:I1251" si="173">TRUNC(H1248*F1248,2)</f>
        <v>1.9</v>
      </c>
      <c r="J1248" s="1795"/>
    </row>
    <row r="1249" spans="1:10">
      <c r="A1249" s="1797" t="s">
        <v>2476</v>
      </c>
      <c r="B1249" s="1798" t="s">
        <v>2479</v>
      </c>
      <c r="C1249" s="1798">
        <v>34616</v>
      </c>
      <c r="D1249" s="1799" t="s">
        <v>2710</v>
      </c>
      <c r="E1249" s="1800" t="s">
        <v>2501</v>
      </c>
      <c r="F1249" s="1807">
        <v>1</v>
      </c>
      <c r="G1249" s="1801">
        <v>57.49</v>
      </c>
      <c r="H1249" s="1802">
        <f>IF(E1249="H",G1249,TRUNC(G1249*(1-$K$7),2))</f>
        <v>57.19</v>
      </c>
      <c r="I1249" s="1803">
        <f t="shared" si="173"/>
        <v>57.19</v>
      </c>
      <c r="J1249" s="1795"/>
    </row>
    <row r="1250" spans="1:10" ht="24">
      <c r="A1250" s="1797" t="s">
        <v>2476</v>
      </c>
      <c r="B1250" s="1798" t="s">
        <v>7</v>
      </c>
      <c r="C1250" s="1798">
        <v>88247</v>
      </c>
      <c r="D1250" s="1799" t="s">
        <v>93</v>
      </c>
      <c r="E1250" s="1800" t="s">
        <v>411</v>
      </c>
      <c r="F1250" s="1807">
        <v>9.5200000000000007E-2</v>
      </c>
      <c r="G1250" s="1801">
        <v>21</v>
      </c>
      <c r="H1250" s="1802">
        <f>IF(E1250="H",G1250,TRUNC(G1250*(1-$K$7),2))</f>
        <v>21</v>
      </c>
      <c r="I1250" s="1803">
        <f t="shared" si="173"/>
        <v>1.99</v>
      </c>
      <c r="J1250" s="1795"/>
    </row>
    <row r="1251" spans="1:10">
      <c r="A1251" s="1797" t="s">
        <v>2476</v>
      </c>
      <c r="B1251" s="1798" t="s">
        <v>7</v>
      </c>
      <c r="C1251" s="1798">
        <v>88264</v>
      </c>
      <c r="D1251" s="1799" t="s">
        <v>94</v>
      </c>
      <c r="E1251" s="1800" t="s">
        <v>411</v>
      </c>
      <c r="F1251" s="1807">
        <v>9.5200000000000007E-2</v>
      </c>
      <c r="G1251" s="1801">
        <v>25.54</v>
      </c>
      <c r="H1251" s="1802">
        <f>IF(E1251="H",G1251,TRUNC(G1251*(1-$K$7),2))</f>
        <v>25.54</v>
      </c>
      <c r="I1251" s="1803">
        <f t="shared" si="173"/>
        <v>2.4300000000000002</v>
      </c>
      <c r="J1251" s="1795"/>
    </row>
    <row r="1252" spans="1:10">
      <c r="A1252" s="1943" t="s">
        <v>2477</v>
      </c>
      <c r="B1252" s="1944"/>
      <c r="C1252" s="1944"/>
      <c r="D1252" s="1944"/>
      <c r="E1252" s="1944"/>
      <c r="F1252" s="1944"/>
      <c r="G1252" s="1944"/>
      <c r="H1252" s="1945"/>
      <c r="I1252" s="1805">
        <f>SUM(I1248:I1251)</f>
        <v>63.51</v>
      </c>
      <c r="J1252" s="1795"/>
    </row>
    <row r="1253" spans="1:10">
      <c r="A1253" s="1929"/>
      <c r="B1253" s="1930"/>
      <c r="C1253" s="1930"/>
      <c r="D1253" s="1930"/>
      <c r="E1253" s="1930"/>
      <c r="F1253" s="1930"/>
      <c r="G1253" s="1930"/>
      <c r="H1253" s="1930"/>
      <c r="I1253" s="1931"/>
      <c r="J1253" s="1795"/>
    </row>
    <row r="1254" spans="1:10">
      <c r="A1254" s="1784">
        <f>'PLANILHA SEM DESON'!B196</f>
        <v>93660</v>
      </c>
      <c r="B1254" s="1940" t="str">
        <f>VLOOKUP(A1254,'PLANILHA SEM DESON'!$B$17:$D$1700,2,FALSE)</f>
        <v>DISJUNTOR BIPOLAR TIPO DIN, CORRENTE NOMINAL DE 10A - FORNECIMENTO E INSTALAÇÃO. AF_10/2020</v>
      </c>
      <c r="C1254" s="1941"/>
      <c r="D1254" s="1941"/>
      <c r="E1254" s="1941"/>
      <c r="F1254" s="1941"/>
      <c r="G1254" s="1941"/>
      <c r="H1254" s="1942"/>
      <c r="I1254" s="1785" t="str">
        <f>VLOOKUP(A1254,'PLANILHA SEM DESON'!$B$17:$D$1700,3,FALSE)</f>
        <v xml:space="preserve">un </v>
      </c>
      <c r="J1254" s="1786">
        <f>I1260</f>
        <v>62.349999999999994</v>
      </c>
    </row>
    <row r="1255" spans="1:10" ht="24">
      <c r="A1255" s="1788" t="s">
        <v>2470</v>
      </c>
      <c r="B1255" s="1789" t="s">
        <v>2471</v>
      </c>
      <c r="C1255" s="1790" t="s">
        <v>2468</v>
      </c>
      <c r="D1255" s="1791" t="s">
        <v>308</v>
      </c>
      <c r="E1255" s="1790" t="s">
        <v>202</v>
      </c>
      <c r="F1255" s="1792" t="s">
        <v>2472</v>
      </c>
      <c r="G1255" s="1790" t="s">
        <v>2473</v>
      </c>
      <c r="H1255" s="1793" t="s">
        <v>2474</v>
      </c>
      <c r="I1255" s="1794" t="s">
        <v>2475</v>
      </c>
      <c r="J1255" s="1795"/>
    </row>
    <row r="1256" spans="1:10" ht="36">
      <c r="A1256" s="1797" t="s">
        <v>2476</v>
      </c>
      <c r="B1256" s="1798" t="s">
        <v>2479</v>
      </c>
      <c r="C1256" s="1798">
        <v>1570</v>
      </c>
      <c r="D1256" s="1799" t="s">
        <v>2708</v>
      </c>
      <c r="E1256" s="1800" t="s">
        <v>2501</v>
      </c>
      <c r="F1256" s="1807">
        <v>2</v>
      </c>
      <c r="G1256" s="1801">
        <v>0.96</v>
      </c>
      <c r="H1256" s="1802">
        <f>IF(E1256="H",G1256,TRUNC(G1256*(1-$K$7),2))</f>
        <v>0.95</v>
      </c>
      <c r="I1256" s="1803">
        <f t="shared" ref="I1256:I1259" si="174">TRUNC(H1256*F1256,2)</f>
        <v>1.9</v>
      </c>
      <c r="J1256" s="1795"/>
    </row>
    <row r="1257" spans="1:10">
      <c r="A1257" s="1797" t="s">
        <v>2476</v>
      </c>
      <c r="B1257" s="1798" t="s">
        <v>2479</v>
      </c>
      <c r="C1257" s="1798">
        <v>34616</v>
      </c>
      <c r="D1257" s="1799" t="s">
        <v>2710</v>
      </c>
      <c r="E1257" s="1800" t="s">
        <v>2501</v>
      </c>
      <c r="F1257" s="1807">
        <v>1</v>
      </c>
      <c r="G1257" s="1801">
        <v>57.49</v>
      </c>
      <c r="H1257" s="1802">
        <f>IF(E1257="H",G1257,TRUNC(G1257*(1-$K$7),2))</f>
        <v>57.19</v>
      </c>
      <c r="I1257" s="1803">
        <f t="shared" si="174"/>
        <v>57.19</v>
      </c>
      <c r="J1257" s="1795"/>
    </row>
    <row r="1258" spans="1:10" ht="24">
      <c r="A1258" s="1797" t="s">
        <v>2476</v>
      </c>
      <c r="B1258" s="1798" t="s">
        <v>7</v>
      </c>
      <c r="C1258" s="1798">
        <v>88247</v>
      </c>
      <c r="D1258" s="1799" t="s">
        <v>93</v>
      </c>
      <c r="E1258" s="1800" t="s">
        <v>411</v>
      </c>
      <c r="F1258" s="1807">
        <v>7.0300000000000001E-2</v>
      </c>
      <c r="G1258" s="1801">
        <v>21</v>
      </c>
      <c r="H1258" s="1802">
        <f>IF(E1258="H",G1258,TRUNC(G1258*(1-$K$7),2))</f>
        <v>21</v>
      </c>
      <c r="I1258" s="1803">
        <f t="shared" si="174"/>
        <v>1.47</v>
      </c>
      <c r="J1258" s="1795"/>
    </row>
    <row r="1259" spans="1:10">
      <c r="A1259" s="1797" t="s">
        <v>2476</v>
      </c>
      <c r="B1259" s="1798" t="s">
        <v>7</v>
      </c>
      <c r="C1259" s="1798">
        <v>88264</v>
      </c>
      <c r="D1259" s="1799" t="s">
        <v>94</v>
      </c>
      <c r="E1259" s="1800" t="s">
        <v>411</v>
      </c>
      <c r="F1259" s="1807">
        <v>7.0300000000000001E-2</v>
      </c>
      <c r="G1259" s="1801">
        <v>25.54</v>
      </c>
      <c r="H1259" s="1802">
        <f>IF(E1259="H",G1259,TRUNC(G1259*(1-$K$7),2))</f>
        <v>25.54</v>
      </c>
      <c r="I1259" s="1803">
        <f t="shared" si="174"/>
        <v>1.79</v>
      </c>
      <c r="J1259" s="1795"/>
    </row>
    <row r="1260" spans="1:10">
      <c r="A1260" s="1943" t="s">
        <v>2477</v>
      </c>
      <c r="B1260" s="1944"/>
      <c r="C1260" s="1944"/>
      <c r="D1260" s="1944"/>
      <c r="E1260" s="1944"/>
      <c r="F1260" s="1944"/>
      <c r="G1260" s="1944"/>
      <c r="H1260" s="1945"/>
      <c r="I1260" s="1805">
        <f>SUM(I1256:I1259)</f>
        <v>62.349999999999994</v>
      </c>
      <c r="J1260" s="1795"/>
    </row>
    <row r="1261" spans="1:10">
      <c r="A1261" s="1929"/>
      <c r="B1261" s="1930"/>
      <c r="C1261" s="1930"/>
      <c r="D1261" s="1930"/>
      <c r="E1261" s="1930"/>
      <c r="F1261" s="1930"/>
      <c r="G1261" s="1930"/>
      <c r="H1261" s="1930"/>
      <c r="I1261" s="1931"/>
      <c r="J1261" s="1795"/>
    </row>
    <row r="1262" spans="1:10" ht="29.25" customHeight="1">
      <c r="A1262" s="1784">
        <f>'PLANILHA SEM DESON'!B197</f>
        <v>101895</v>
      </c>
      <c r="B1262" s="1940" t="str">
        <f>VLOOKUP(A1262,'PLANILHA SEM DESON'!$B$17:$D$1700,2,FALSE)</f>
        <v>DISJUNTOR TERMOMAGNÉTICO TRIPOLAR , CORRENTE NOMINAL DE 125A - FORNECIMENTO E INSTALAÇÃO. AF_10/2020</v>
      </c>
      <c r="C1262" s="1941"/>
      <c r="D1262" s="1941"/>
      <c r="E1262" s="1941"/>
      <c r="F1262" s="1941"/>
      <c r="G1262" s="1941"/>
      <c r="H1262" s="1942"/>
      <c r="I1262" s="1785" t="str">
        <f>VLOOKUP(A1262,'PLANILHA SEM DESON'!$B$17:$D$1700,3,FALSE)</f>
        <v xml:space="preserve">un </v>
      </c>
      <c r="J1262" s="1786">
        <f>I1268</f>
        <v>459.24000000000007</v>
      </c>
    </row>
    <row r="1263" spans="1:10" ht="24">
      <c r="A1263" s="1788" t="s">
        <v>2470</v>
      </c>
      <c r="B1263" s="1789" t="s">
        <v>2471</v>
      </c>
      <c r="C1263" s="1790" t="s">
        <v>2468</v>
      </c>
      <c r="D1263" s="1791" t="s">
        <v>308</v>
      </c>
      <c r="E1263" s="1790" t="s">
        <v>202</v>
      </c>
      <c r="F1263" s="1792" t="s">
        <v>2472</v>
      </c>
      <c r="G1263" s="1790" t="s">
        <v>2473</v>
      </c>
      <c r="H1263" s="1793" t="s">
        <v>2474</v>
      </c>
      <c r="I1263" s="1794" t="s">
        <v>2475</v>
      </c>
      <c r="J1263" s="1795"/>
    </row>
    <row r="1264" spans="1:10" ht="36">
      <c r="A1264" s="1797" t="s">
        <v>2476</v>
      </c>
      <c r="B1264" s="1798" t="s">
        <v>2479</v>
      </c>
      <c r="C1264" s="1798">
        <v>1578</v>
      </c>
      <c r="D1264" s="1799" t="s">
        <v>2711</v>
      </c>
      <c r="E1264" s="1800" t="s">
        <v>2501</v>
      </c>
      <c r="F1264" s="1807">
        <v>3</v>
      </c>
      <c r="G1264" s="1801">
        <v>5.17</v>
      </c>
      <c r="H1264" s="1802">
        <f>IF(E1264="H",G1264,TRUNC(G1264*(1-$K$7),2))</f>
        <v>5.14</v>
      </c>
      <c r="I1264" s="1803">
        <f t="shared" ref="I1264:I1267" si="175">TRUNC(H1264*F1264,2)</f>
        <v>15.42</v>
      </c>
      <c r="J1264" s="1795"/>
    </row>
    <row r="1265" spans="1:10">
      <c r="A1265" s="1797" t="s">
        <v>2476</v>
      </c>
      <c r="B1265" s="1798" t="s">
        <v>2479</v>
      </c>
      <c r="C1265" s="1798">
        <v>2391</v>
      </c>
      <c r="D1265" s="1799" t="s">
        <v>2712</v>
      </c>
      <c r="E1265" s="1800" t="s">
        <v>2501</v>
      </c>
      <c r="F1265" s="1807">
        <v>1</v>
      </c>
      <c r="G1265" s="1801">
        <v>384.21</v>
      </c>
      <c r="H1265" s="1802">
        <f>IF(E1265="H",G1265,TRUNC(G1265*(1-$K$7),2))</f>
        <v>382.25</v>
      </c>
      <c r="I1265" s="1803">
        <f t="shared" si="175"/>
        <v>382.25</v>
      </c>
      <c r="J1265" s="1795"/>
    </row>
    <row r="1266" spans="1:10" ht="24">
      <c r="A1266" s="1797" t="s">
        <v>2476</v>
      </c>
      <c r="B1266" s="1798" t="s">
        <v>7</v>
      </c>
      <c r="C1266" s="1798">
        <v>88247</v>
      </c>
      <c r="D1266" s="1799" t="s">
        <v>93</v>
      </c>
      <c r="E1266" s="1800" t="s">
        <v>411</v>
      </c>
      <c r="F1266" s="1807">
        <v>1.3231999999999999</v>
      </c>
      <c r="G1266" s="1801">
        <v>21</v>
      </c>
      <c r="H1266" s="1802">
        <f>IF(E1266="H",G1266,TRUNC(G1266*(1-$K$7),2))</f>
        <v>21</v>
      </c>
      <c r="I1266" s="1803">
        <f t="shared" si="175"/>
        <v>27.78</v>
      </c>
      <c r="J1266" s="1795"/>
    </row>
    <row r="1267" spans="1:10">
      <c r="A1267" s="1797" t="s">
        <v>2476</v>
      </c>
      <c r="B1267" s="1798" t="s">
        <v>7</v>
      </c>
      <c r="C1267" s="1798">
        <v>88264</v>
      </c>
      <c r="D1267" s="1799" t="s">
        <v>94</v>
      </c>
      <c r="E1267" s="1800" t="s">
        <v>411</v>
      </c>
      <c r="F1267" s="1807">
        <v>1.3231999999999999</v>
      </c>
      <c r="G1267" s="1801">
        <v>25.54</v>
      </c>
      <c r="H1267" s="1802">
        <f>IF(E1267="H",G1267,TRUNC(G1267*(1-$K$7),2))</f>
        <v>25.54</v>
      </c>
      <c r="I1267" s="1803">
        <f t="shared" si="175"/>
        <v>33.79</v>
      </c>
      <c r="J1267" s="1795"/>
    </row>
    <row r="1268" spans="1:10">
      <c r="A1268" s="1943" t="s">
        <v>2477</v>
      </c>
      <c r="B1268" s="1944"/>
      <c r="C1268" s="1944"/>
      <c r="D1268" s="1944"/>
      <c r="E1268" s="1944"/>
      <c r="F1268" s="1944"/>
      <c r="G1268" s="1944"/>
      <c r="H1268" s="1945"/>
      <c r="I1268" s="1805">
        <f>SUM(I1264:I1267)</f>
        <v>459.24000000000007</v>
      </c>
      <c r="J1268" s="1795"/>
    </row>
    <row r="1269" spans="1:10">
      <c r="A1269" s="1929"/>
      <c r="B1269" s="1930"/>
      <c r="C1269" s="1930"/>
      <c r="D1269" s="1930"/>
      <c r="E1269" s="1930"/>
      <c r="F1269" s="1930"/>
      <c r="G1269" s="1930"/>
      <c r="H1269" s="1930"/>
      <c r="I1269" s="1931"/>
      <c r="J1269" s="1795"/>
    </row>
    <row r="1270" spans="1:10" ht="25.5" customHeight="1">
      <c r="A1270" s="1784" t="str">
        <f>'PLANILHA SEM DESON'!B198</f>
        <v>COMP ELE 24</v>
      </c>
      <c r="B1270" s="1940" t="str">
        <f>VLOOKUP(A1270,'PLANILHA SEM DESON'!$B$17:$D$1700,2,FALSE)</f>
        <v>DISJUNTOR TERMOMAGNETICO TRIPOLAR DIN 100A ,40 KA FORNECIMENTO E INSTALACAO</v>
      </c>
      <c r="C1270" s="1941"/>
      <c r="D1270" s="1941"/>
      <c r="E1270" s="1941"/>
      <c r="F1270" s="1941"/>
      <c r="G1270" s="1941"/>
      <c r="H1270" s="1942"/>
      <c r="I1270" s="1785" t="str">
        <f>VLOOKUP(A1270,'PLANILHA SEM DESON'!$B$17:$D$1700,3,FALSE)</f>
        <v xml:space="preserve">un </v>
      </c>
      <c r="J1270" s="1786">
        <f>I1275</f>
        <v>308.88</v>
      </c>
    </row>
    <row r="1271" spans="1:10" ht="24">
      <c r="A1271" s="1788" t="s">
        <v>2470</v>
      </c>
      <c r="B1271" s="1789" t="s">
        <v>2471</v>
      </c>
      <c r="C1271" s="1790" t="s">
        <v>2468</v>
      </c>
      <c r="D1271" s="1791" t="s">
        <v>308</v>
      </c>
      <c r="E1271" s="1790" t="s">
        <v>202</v>
      </c>
      <c r="F1271" s="1792" t="s">
        <v>2472</v>
      </c>
      <c r="G1271" s="1790" t="s">
        <v>2473</v>
      </c>
      <c r="H1271" s="1793" t="s">
        <v>2474</v>
      </c>
      <c r="I1271" s="1794" t="s">
        <v>2475</v>
      </c>
      <c r="J1271" s="1795"/>
    </row>
    <row r="1272" spans="1:10">
      <c r="A1272" s="1797"/>
      <c r="B1272" s="1798"/>
      <c r="C1272" s="1798">
        <v>88264</v>
      </c>
      <c r="D1272" s="1799" t="s">
        <v>94</v>
      </c>
      <c r="E1272" s="1800" t="s">
        <v>57</v>
      </c>
      <c r="F1272" s="1811">
        <v>0.4</v>
      </c>
      <c r="G1272" s="1806">
        <v>25.54</v>
      </c>
      <c r="H1272" s="1802">
        <f>IF(E1272="H",G1272,TRUNC(G1272*(1-$K$7),2))</f>
        <v>25.54</v>
      </c>
      <c r="I1272" s="1803">
        <f t="shared" ref="I1272:I1274" si="176">TRUNC(H1272*F1272,2)</f>
        <v>10.210000000000001</v>
      </c>
      <c r="J1272" s="1795"/>
    </row>
    <row r="1273" spans="1:10" ht="24">
      <c r="A1273" s="1797"/>
      <c r="B1273" s="1798"/>
      <c r="C1273" s="1798">
        <v>88247</v>
      </c>
      <c r="D1273" s="1799" t="s">
        <v>93</v>
      </c>
      <c r="E1273" s="1800" t="s">
        <v>57</v>
      </c>
      <c r="F1273" s="1811">
        <v>0.4</v>
      </c>
      <c r="G1273" s="1806">
        <v>21</v>
      </c>
      <c r="H1273" s="1802">
        <f>IF(E1273="H",G1273,TRUNC(G1273*(1-$K$7),2))</f>
        <v>21</v>
      </c>
      <c r="I1273" s="1803">
        <f t="shared" si="176"/>
        <v>8.4</v>
      </c>
      <c r="J1273" s="1795"/>
    </row>
    <row r="1274" spans="1:10" ht="24">
      <c r="A1274" s="1797"/>
      <c r="B1274" s="1798"/>
      <c r="C1274" s="1798" t="s">
        <v>65</v>
      </c>
      <c r="D1274" s="1799" t="s">
        <v>1603</v>
      </c>
      <c r="E1274" s="1800" t="s">
        <v>55</v>
      </c>
      <c r="F1274" s="1811">
        <v>1</v>
      </c>
      <c r="G1274" s="1806">
        <v>291.76</v>
      </c>
      <c r="H1274" s="1802">
        <f>IF(E1274="H",G1274,TRUNC(G1274*(1-$K$7),2))</f>
        <v>290.27</v>
      </c>
      <c r="I1274" s="1803">
        <f t="shared" si="176"/>
        <v>290.27</v>
      </c>
      <c r="J1274" s="1795"/>
    </row>
    <row r="1275" spans="1:10">
      <c r="A1275" s="1943" t="s">
        <v>2477</v>
      </c>
      <c r="B1275" s="1944"/>
      <c r="C1275" s="1944"/>
      <c r="D1275" s="1944"/>
      <c r="E1275" s="1944"/>
      <c r="F1275" s="1944"/>
      <c r="G1275" s="1944"/>
      <c r="H1275" s="1945"/>
      <c r="I1275" s="1805">
        <f>SUM(I1272:I1274)</f>
        <v>308.88</v>
      </c>
      <c r="J1275" s="1795"/>
    </row>
    <row r="1276" spans="1:10">
      <c r="A1276" s="1929"/>
      <c r="B1276" s="1930"/>
      <c r="C1276" s="1930"/>
      <c r="D1276" s="1930"/>
      <c r="E1276" s="1930"/>
      <c r="F1276" s="1930"/>
      <c r="G1276" s="1930"/>
      <c r="H1276" s="1930"/>
      <c r="I1276" s="1931"/>
      <c r="J1276" s="1795"/>
    </row>
    <row r="1277" spans="1:10" ht="25.5" customHeight="1">
      <c r="A1277" s="1784" t="str">
        <f>'PLANILHA SEM DESON'!B199</f>
        <v>COMP ELE 26</v>
      </c>
      <c r="B1277" s="1940" t="str">
        <f>VLOOKUP(A1277,'PLANILHA SEM DESON'!$B$17:$D$1700,2,FALSE)</f>
        <v>DISJUNTOR TERMOMAGNETICO TRIPOLAR DIN 90A ,10 KA FORNECIMENTO E INSTALACAO</v>
      </c>
      <c r="C1277" s="1941"/>
      <c r="D1277" s="1941"/>
      <c r="E1277" s="1941"/>
      <c r="F1277" s="1941"/>
      <c r="G1277" s="1941"/>
      <c r="H1277" s="1942"/>
      <c r="I1277" s="1785" t="str">
        <f>VLOOKUP(A1277,'PLANILHA SEM DESON'!$B$17:$D$1700,3,FALSE)</f>
        <v xml:space="preserve">un </v>
      </c>
      <c r="J1277" s="1786">
        <f>I1282</f>
        <v>328.13</v>
      </c>
    </row>
    <row r="1278" spans="1:10" ht="24">
      <c r="A1278" s="1788" t="s">
        <v>2470</v>
      </c>
      <c r="B1278" s="1789" t="s">
        <v>2471</v>
      </c>
      <c r="C1278" s="1790" t="s">
        <v>2468</v>
      </c>
      <c r="D1278" s="1791" t="s">
        <v>308</v>
      </c>
      <c r="E1278" s="1790" t="s">
        <v>202</v>
      </c>
      <c r="F1278" s="1792" t="s">
        <v>2472</v>
      </c>
      <c r="G1278" s="1790" t="s">
        <v>2473</v>
      </c>
      <c r="H1278" s="1793" t="s">
        <v>2474</v>
      </c>
      <c r="I1278" s="1794" t="s">
        <v>2475</v>
      </c>
      <c r="J1278" s="1795"/>
    </row>
    <row r="1279" spans="1:10">
      <c r="A1279" s="1797"/>
      <c r="B1279" s="1798"/>
      <c r="C1279" s="1798">
        <v>88264</v>
      </c>
      <c r="D1279" s="1799" t="s">
        <v>94</v>
      </c>
      <c r="E1279" s="1800" t="s">
        <v>57</v>
      </c>
      <c r="F1279" s="1811">
        <v>0.4</v>
      </c>
      <c r="G1279" s="1806">
        <v>25.54</v>
      </c>
      <c r="H1279" s="1802">
        <f>IF(E1279="H",G1279,TRUNC(G1279*(1-$K$7),2))</f>
        <v>25.54</v>
      </c>
      <c r="I1279" s="1803">
        <f t="shared" ref="I1279:I1281" si="177">TRUNC(H1279*F1279,2)</f>
        <v>10.210000000000001</v>
      </c>
      <c r="J1279" s="1795"/>
    </row>
    <row r="1280" spans="1:10" ht="24">
      <c r="A1280" s="1797"/>
      <c r="B1280" s="1798"/>
      <c r="C1280" s="1798">
        <v>88247</v>
      </c>
      <c r="D1280" s="1799" t="s">
        <v>93</v>
      </c>
      <c r="E1280" s="1800" t="s">
        <v>57</v>
      </c>
      <c r="F1280" s="1811">
        <v>0.4</v>
      </c>
      <c r="G1280" s="1806">
        <v>21</v>
      </c>
      <c r="H1280" s="1802">
        <f>IF(E1280="H",G1280,TRUNC(G1280*(1-$K$7),2))</f>
        <v>21</v>
      </c>
      <c r="I1280" s="1803">
        <f t="shared" si="177"/>
        <v>8.4</v>
      </c>
      <c r="J1280" s="1795"/>
    </row>
    <row r="1281" spans="1:10" ht="24">
      <c r="A1281" s="1797"/>
      <c r="B1281" s="1798"/>
      <c r="C1281" s="1798" t="s">
        <v>65</v>
      </c>
      <c r="D1281" s="1799" t="s">
        <v>2204</v>
      </c>
      <c r="E1281" s="1800" t="s">
        <v>55</v>
      </c>
      <c r="F1281" s="1811">
        <v>1</v>
      </c>
      <c r="G1281" s="1806">
        <v>311.11</v>
      </c>
      <c r="H1281" s="1802">
        <f>IF(E1281="H",G1281,TRUNC(G1281*(1-$K$7),2))</f>
        <v>309.52</v>
      </c>
      <c r="I1281" s="1803">
        <f t="shared" si="177"/>
        <v>309.52</v>
      </c>
      <c r="J1281" s="1795"/>
    </row>
    <row r="1282" spans="1:10">
      <c r="A1282" s="1943" t="s">
        <v>2477</v>
      </c>
      <c r="B1282" s="1944"/>
      <c r="C1282" s="1944"/>
      <c r="D1282" s="1944"/>
      <c r="E1282" s="1944"/>
      <c r="F1282" s="1944"/>
      <c r="G1282" s="1944"/>
      <c r="H1282" s="1945"/>
      <c r="I1282" s="1805">
        <f>SUM(I1279:I1281)</f>
        <v>328.13</v>
      </c>
      <c r="J1282" s="1795"/>
    </row>
    <row r="1283" spans="1:10">
      <c r="A1283" s="1929"/>
      <c r="B1283" s="1930"/>
      <c r="C1283" s="1930"/>
      <c r="D1283" s="1930"/>
      <c r="E1283" s="1930"/>
      <c r="F1283" s="1930"/>
      <c r="G1283" s="1930"/>
      <c r="H1283" s="1930"/>
      <c r="I1283" s="1931"/>
      <c r="J1283" s="1795"/>
    </row>
    <row r="1284" spans="1:10" ht="25.5" customHeight="1">
      <c r="A1284" s="1784">
        <f>'PLANILHA SEM DESON'!B200</f>
        <v>91941</v>
      </c>
      <c r="B1284" s="1940" t="str">
        <f>VLOOKUP(A1284,'PLANILHA SEM DESON'!$B$17:$D$1700,2,FALSE)</f>
        <v>CAIXA RETANGULAR 4" X 2" BAIXA (0,30 M DO PISO), PVC, INSTALADA EM PAREDE - FORNECIMENTO E INSTALAÇÃO. AF_12/2015</v>
      </c>
      <c r="C1284" s="1941"/>
      <c r="D1284" s="1941"/>
      <c r="E1284" s="1941"/>
      <c r="F1284" s="1941"/>
      <c r="G1284" s="1941"/>
      <c r="H1284" s="1942"/>
      <c r="I1284" s="1785" t="str">
        <f>VLOOKUP(A1284,'PLANILHA SEM DESON'!$B$17:$D$1700,3,FALSE)</f>
        <v xml:space="preserve">un </v>
      </c>
      <c r="J1284" s="1786">
        <f>I1290</f>
        <v>9.8600000000000012</v>
      </c>
    </row>
    <row r="1285" spans="1:10" ht="24">
      <c r="A1285" s="1788" t="s">
        <v>2470</v>
      </c>
      <c r="B1285" s="1789" t="s">
        <v>2471</v>
      </c>
      <c r="C1285" s="1790" t="s">
        <v>2468</v>
      </c>
      <c r="D1285" s="1791" t="s">
        <v>308</v>
      </c>
      <c r="E1285" s="1790" t="s">
        <v>202</v>
      </c>
      <c r="F1285" s="1792" t="s">
        <v>2472</v>
      </c>
      <c r="G1285" s="1790" t="s">
        <v>2473</v>
      </c>
      <c r="H1285" s="1793" t="s">
        <v>2474</v>
      </c>
      <c r="I1285" s="1794" t="s">
        <v>2475</v>
      </c>
      <c r="J1285" s="1795"/>
    </row>
    <row r="1286" spans="1:10" ht="24">
      <c r="A1286" s="1797" t="s">
        <v>2476</v>
      </c>
      <c r="B1286" s="1798" t="s">
        <v>2479</v>
      </c>
      <c r="C1286" s="1798">
        <v>1872</v>
      </c>
      <c r="D1286" s="1799" t="s">
        <v>2713</v>
      </c>
      <c r="E1286" s="1800" t="s">
        <v>2501</v>
      </c>
      <c r="F1286" s="1807">
        <v>1</v>
      </c>
      <c r="G1286" s="1801">
        <v>2.4700000000000002</v>
      </c>
      <c r="H1286" s="1802">
        <f>IF(E1286="H",G1286,TRUNC(G1286*(1-$K$7),2))</f>
        <v>2.4500000000000002</v>
      </c>
      <c r="I1286" s="1803">
        <f t="shared" ref="I1286:I1289" si="178">TRUNC(H1286*F1286,2)</f>
        <v>2.4500000000000002</v>
      </c>
      <c r="J1286" s="1795"/>
    </row>
    <row r="1287" spans="1:10" ht="24">
      <c r="A1287" s="1797" t="s">
        <v>2476</v>
      </c>
      <c r="B1287" s="1798" t="s">
        <v>7</v>
      </c>
      <c r="C1287" s="1798">
        <v>88247</v>
      </c>
      <c r="D1287" s="1799" t="s">
        <v>93</v>
      </c>
      <c r="E1287" s="1800" t="s">
        <v>411</v>
      </c>
      <c r="F1287" s="1807">
        <v>0.14499999999999999</v>
      </c>
      <c r="G1287" s="1801">
        <v>21</v>
      </c>
      <c r="H1287" s="1802">
        <f>IF(E1287="H",G1287,TRUNC(G1287*(1-$K$7),2))</f>
        <v>21</v>
      </c>
      <c r="I1287" s="1803">
        <f t="shared" si="178"/>
        <v>3.04</v>
      </c>
      <c r="J1287" s="1795"/>
    </row>
    <row r="1288" spans="1:10">
      <c r="A1288" s="1797" t="s">
        <v>2476</v>
      </c>
      <c r="B1288" s="1798" t="s">
        <v>7</v>
      </c>
      <c r="C1288" s="1798">
        <v>88264</v>
      </c>
      <c r="D1288" s="1799" t="s">
        <v>94</v>
      </c>
      <c r="E1288" s="1800" t="s">
        <v>411</v>
      </c>
      <c r="F1288" s="1807">
        <v>0.14499999999999999</v>
      </c>
      <c r="G1288" s="1801">
        <v>25.54</v>
      </c>
      <c r="H1288" s="1802">
        <f>IF(E1288="H",G1288,TRUNC(G1288*(1-$K$7),2))</f>
        <v>25.54</v>
      </c>
      <c r="I1288" s="1803">
        <f t="shared" si="178"/>
        <v>3.7</v>
      </c>
      <c r="J1288" s="1795"/>
    </row>
    <row r="1289" spans="1:10" ht="24">
      <c r="A1289" s="1797" t="s">
        <v>2476</v>
      </c>
      <c r="B1289" s="1798" t="s">
        <v>7</v>
      </c>
      <c r="C1289" s="1798">
        <v>88629</v>
      </c>
      <c r="D1289" s="1799" t="s">
        <v>2714</v>
      </c>
      <c r="E1289" s="1800" t="s">
        <v>1171</v>
      </c>
      <c r="F1289" s="1807">
        <v>8.9999999999999998E-4</v>
      </c>
      <c r="G1289" s="1801">
        <v>754.41</v>
      </c>
      <c r="H1289" s="1802">
        <f>IF(E1289="H",G1289,TRUNC(G1289*(1-$K$7),2))</f>
        <v>750.56</v>
      </c>
      <c r="I1289" s="1803">
        <f t="shared" si="178"/>
        <v>0.67</v>
      </c>
      <c r="J1289" s="1795"/>
    </row>
    <row r="1290" spans="1:10">
      <c r="A1290" s="1943" t="s">
        <v>2477</v>
      </c>
      <c r="B1290" s="1944"/>
      <c r="C1290" s="1944"/>
      <c r="D1290" s="1944"/>
      <c r="E1290" s="1944"/>
      <c r="F1290" s="1944"/>
      <c r="G1290" s="1944"/>
      <c r="H1290" s="1945"/>
      <c r="I1290" s="1805">
        <f>SUM(I1286:I1289)</f>
        <v>9.8600000000000012</v>
      </c>
      <c r="J1290" s="1795"/>
    </row>
    <row r="1291" spans="1:10">
      <c r="A1291" s="1929"/>
      <c r="B1291" s="1930"/>
      <c r="C1291" s="1930"/>
      <c r="D1291" s="1930"/>
      <c r="E1291" s="1930"/>
      <c r="F1291" s="1930"/>
      <c r="G1291" s="1930"/>
      <c r="H1291" s="1930"/>
      <c r="I1291" s="1931"/>
      <c r="J1291" s="1795"/>
    </row>
    <row r="1292" spans="1:10" ht="24.75" customHeight="1">
      <c r="A1292" s="1784">
        <f>'PLANILHA SEM DESON'!B201</f>
        <v>91940</v>
      </c>
      <c r="B1292" s="1940" t="str">
        <f>VLOOKUP(A1292,'PLANILHA SEM DESON'!$B$17:$D$1700,2,FALSE)</f>
        <v>CAIXA RETANGULAR 4" X 2" MÉDIA (1,30 M DO PISO), METÁLICA, INSTALADA EM PAREDE - FORNECIMENTO E INSTALAÇÃO. AF_12/2015</v>
      </c>
      <c r="C1292" s="1941"/>
      <c r="D1292" s="1941"/>
      <c r="E1292" s="1941"/>
      <c r="F1292" s="1941"/>
      <c r="G1292" s="1941"/>
      <c r="H1292" s="1942"/>
      <c r="I1292" s="1785" t="str">
        <f>VLOOKUP(A1292,'PLANILHA SEM DESON'!$B$17:$D$1700,3,FALSE)</f>
        <v xml:space="preserve">un </v>
      </c>
      <c r="J1292" s="1786">
        <f>I1298</f>
        <v>14.6</v>
      </c>
    </row>
    <row r="1293" spans="1:10" ht="24">
      <c r="A1293" s="1788" t="s">
        <v>2470</v>
      </c>
      <c r="B1293" s="1789" t="s">
        <v>2471</v>
      </c>
      <c r="C1293" s="1790" t="s">
        <v>2468</v>
      </c>
      <c r="D1293" s="1791" t="s">
        <v>308</v>
      </c>
      <c r="E1293" s="1790" t="s">
        <v>202</v>
      </c>
      <c r="F1293" s="1792" t="s">
        <v>2472</v>
      </c>
      <c r="G1293" s="1790" t="s">
        <v>2473</v>
      </c>
      <c r="H1293" s="1793" t="s">
        <v>2474</v>
      </c>
      <c r="I1293" s="1794" t="s">
        <v>2475</v>
      </c>
      <c r="J1293" s="1795"/>
    </row>
    <row r="1294" spans="1:10" ht="24">
      <c r="A1294" s="1797" t="s">
        <v>2476</v>
      </c>
      <c r="B1294" s="1798" t="s">
        <v>2479</v>
      </c>
      <c r="C1294" s="1798">
        <v>1872</v>
      </c>
      <c r="D1294" s="1799" t="s">
        <v>2713</v>
      </c>
      <c r="E1294" s="1800" t="s">
        <v>2501</v>
      </c>
      <c r="F1294" s="1807">
        <v>1</v>
      </c>
      <c r="G1294" s="1801">
        <v>2.4700000000000002</v>
      </c>
      <c r="H1294" s="1802">
        <f>IF(E1294="H",G1294,TRUNC(G1294*(1-$K$7),2))</f>
        <v>2.4500000000000002</v>
      </c>
      <c r="I1294" s="1803">
        <f t="shared" ref="I1294:I1297" si="179">TRUNC(H1294*F1294,2)</f>
        <v>2.4500000000000002</v>
      </c>
      <c r="J1294" s="1795"/>
    </row>
    <row r="1295" spans="1:10" ht="24">
      <c r="A1295" s="1797" t="s">
        <v>2476</v>
      </c>
      <c r="B1295" s="1798" t="s">
        <v>7</v>
      </c>
      <c r="C1295" s="1798">
        <v>88247</v>
      </c>
      <c r="D1295" s="1799" t="s">
        <v>93</v>
      </c>
      <c r="E1295" s="1800" t="s">
        <v>411</v>
      </c>
      <c r="F1295" s="1807">
        <v>0.247</v>
      </c>
      <c r="G1295" s="1801">
        <v>21</v>
      </c>
      <c r="H1295" s="1802">
        <f>IF(E1295="H",G1295,TRUNC(G1295*(1-$K$7),2))</f>
        <v>21</v>
      </c>
      <c r="I1295" s="1803">
        <f t="shared" si="179"/>
        <v>5.18</v>
      </c>
      <c r="J1295" s="1795"/>
    </row>
    <row r="1296" spans="1:10">
      <c r="A1296" s="1797" t="s">
        <v>2476</v>
      </c>
      <c r="B1296" s="1798" t="s">
        <v>7</v>
      </c>
      <c r="C1296" s="1798">
        <v>88264</v>
      </c>
      <c r="D1296" s="1799" t="s">
        <v>94</v>
      </c>
      <c r="E1296" s="1800" t="s">
        <v>411</v>
      </c>
      <c r="F1296" s="1807">
        <v>0.247</v>
      </c>
      <c r="G1296" s="1801">
        <v>25.54</v>
      </c>
      <c r="H1296" s="1802">
        <f>IF(E1296="H",G1296,TRUNC(G1296*(1-$K$7),2))</f>
        <v>25.54</v>
      </c>
      <c r="I1296" s="1803">
        <f t="shared" si="179"/>
        <v>6.3</v>
      </c>
      <c r="J1296" s="1795"/>
    </row>
    <row r="1297" spans="1:10" ht="24">
      <c r="A1297" s="1797" t="s">
        <v>2476</v>
      </c>
      <c r="B1297" s="1798" t="s">
        <v>7</v>
      </c>
      <c r="C1297" s="1798">
        <v>88629</v>
      </c>
      <c r="D1297" s="1799" t="s">
        <v>2714</v>
      </c>
      <c r="E1297" s="1800" t="s">
        <v>1171</v>
      </c>
      <c r="F1297" s="1807">
        <v>8.9999999999999998E-4</v>
      </c>
      <c r="G1297" s="1801">
        <v>754.41</v>
      </c>
      <c r="H1297" s="1802">
        <f>IF(E1297="H",G1297,TRUNC(G1297*(1-$K$7),2))</f>
        <v>750.56</v>
      </c>
      <c r="I1297" s="1803">
        <f t="shared" si="179"/>
        <v>0.67</v>
      </c>
      <c r="J1297" s="1795"/>
    </row>
    <row r="1298" spans="1:10">
      <c r="A1298" s="1943" t="s">
        <v>2477</v>
      </c>
      <c r="B1298" s="1944"/>
      <c r="C1298" s="1944"/>
      <c r="D1298" s="1944"/>
      <c r="E1298" s="1944"/>
      <c r="F1298" s="1944"/>
      <c r="G1298" s="1944"/>
      <c r="H1298" s="1945"/>
      <c r="I1298" s="1805">
        <f>SUM(I1294:I1297)</f>
        <v>14.6</v>
      </c>
      <c r="J1298" s="1795"/>
    </row>
    <row r="1299" spans="1:10">
      <c r="A1299" s="1929"/>
      <c r="B1299" s="1930"/>
      <c r="C1299" s="1930"/>
      <c r="D1299" s="1930"/>
      <c r="E1299" s="1930"/>
      <c r="F1299" s="1930"/>
      <c r="G1299" s="1930"/>
      <c r="H1299" s="1930"/>
      <c r="I1299" s="1931"/>
      <c r="J1299" s="1795"/>
    </row>
    <row r="1300" spans="1:10" ht="25.5" customHeight="1">
      <c r="A1300" s="1784">
        <f>'PLANILHA SEM DESON'!B202</f>
        <v>91939</v>
      </c>
      <c r="B1300" s="1940" t="str">
        <f>VLOOKUP(A1300,'PLANILHA SEM DESON'!$B$17:$D$1700,2,FALSE)</f>
        <v>CAIXA RETANGULAR 4" X 2" ALTA (2,00 M DO PISO), PVC, INSTALADA EM PAREDE - FORNECIMENTO E INSTALAÇÃO. AF_12/2015</v>
      </c>
      <c r="C1300" s="1941"/>
      <c r="D1300" s="1941"/>
      <c r="E1300" s="1941"/>
      <c r="F1300" s="1941"/>
      <c r="G1300" s="1941"/>
      <c r="H1300" s="1942"/>
      <c r="I1300" s="1785" t="str">
        <f>VLOOKUP(A1300,'PLANILHA SEM DESON'!$B$17:$D$1700,3,FALSE)</f>
        <v xml:space="preserve">un </v>
      </c>
      <c r="J1300" s="1786">
        <f>I1306</f>
        <v>27.26</v>
      </c>
    </row>
    <row r="1301" spans="1:10" ht="24">
      <c r="A1301" s="1788" t="s">
        <v>2470</v>
      </c>
      <c r="B1301" s="1789" t="s">
        <v>2471</v>
      </c>
      <c r="C1301" s="1790" t="s">
        <v>2468</v>
      </c>
      <c r="D1301" s="1791" t="s">
        <v>308</v>
      </c>
      <c r="E1301" s="1790" t="s">
        <v>202</v>
      </c>
      <c r="F1301" s="1792" t="s">
        <v>2472</v>
      </c>
      <c r="G1301" s="1790" t="s">
        <v>2473</v>
      </c>
      <c r="H1301" s="1793" t="s">
        <v>2474</v>
      </c>
      <c r="I1301" s="1794" t="s">
        <v>2475</v>
      </c>
      <c r="J1301" s="1795"/>
    </row>
    <row r="1302" spans="1:10" ht="24">
      <c r="A1302" s="1797" t="s">
        <v>2476</v>
      </c>
      <c r="B1302" s="1798" t="s">
        <v>2479</v>
      </c>
      <c r="C1302" s="1798">
        <v>1872</v>
      </c>
      <c r="D1302" s="1799" t="s">
        <v>2713</v>
      </c>
      <c r="E1302" s="1800" t="s">
        <v>2501</v>
      </c>
      <c r="F1302" s="1807">
        <v>1</v>
      </c>
      <c r="G1302" s="1801">
        <v>2.4700000000000002</v>
      </c>
      <c r="H1302" s="1802">
        <f>IF(E1302="H",G1302,TRUNC(G1302*(1-$K$7),2))</f>
        <v>2.4500000000000002</v>
      </c>
      <c r="I1302" s="1803">
        <f t="shared" ref="I1302:I1305" si="180">TRUNC(H1302*F1302,2)</f>
        <v>2.4500000000000002</v>
      </c>
      <c r="J1302" s="1795"/>
    </row>
    <row r="1303" spans="1:10" ht="24">
      <c r="A1303" s="1797" t="s">
        <v>2476</v>
      </c>
      <c r="B1303" s="1798" t="s">
        <v>7</v>
      </c>
      <c r="C1303" s="1798">
        <v>88247</v>
      </c>
      <c r="D1303" s="1799" t="s">
        <v>93</v>
      </c>
      <c r="E1303" s="1800" t="s">
        <v>411</v>
      </c>
      <c r="F1303" s="1807">
        <v>0.51900000000000002</v>
      </c>
      <c r="G1303" s="1801">
        <v>21</v>
      </c>
      <c r="H1303" s="1802">
        <f>IF(E1303="H",G1303,TRUNC(G1303*(1-$K$7),2))</f>
        <v>21</v>
      </c>
      <c r="I1303" s="1803">
        <f t="shared" si="180"/>
        <v>10.89</v>
      </c>
      <c r="J1303" s="1795"/>
    </row>
    <row r="1304" spans="1:10">
      <c r="A1304" s="1797" t="s">
        <v>2476</v>
      </c>
      <c r="B1304" s="1798" t="s">
        <v>7</v>
      </c>
      <c r="C1304" s="1798">
        <v>88264</v>
      </c>
      <c r="D1304" s="1799" t="s">
        <v>94</v>
      </c>
      <c r="E1304" s="1800" t="s">
        <v>411</v>
      </c>
      <c r="F1304" s="1807">
        <v>0.51900000000000002</v>
      </c>
      <c r="G1304" s="1801">
        <v>25.54</v>
      </c>
      <c r="H1304" s="1802">
        <f>IF(E1304="H",G1304,TRUNC(G1304*(1-$K$7),2))</f>
        <v>25.54</v>
      </c>
      <c r="I1304" s="1803">
        <f t="shared" si="180"/>
        <v>13.25</v>
      </c>
      <c r="J1304" s="1795"/>
    </row>
    <row r="1305" spans="1:10" ht="24">
      <c r="A1305" s="1797" t="s">
        <v>2476</v>
      </c>
      <c r="B1305" s="1798" t="s">
        <v>7</v>
      </c>
      <c r="C1305" s="1798">
        <v>88629</v>
      </c>
      <c r="D1305" s="1799" t="s">
        <v>2714</v>
      </c>
      <c r="E1305" s="1800" t="s">
        <v>1171</v>
      </c>
      <c r="F1305" s="1807">
        <v>8.9999999999999998E-4</v>
      </c>
      <c r="G1305" s="1801">
        <v>754.41</v>
      </c>
      <c r="H1305" s="1802">
        <f>IF(E1305="H",G1305,TRUNC(G1305*(1-$K$7),2))</f>
        <v>750.56</v>
      </c>
      <c r="I1305" s="1803">
        <f t="shared" si="180"/>
        <v>0.67</v>
      </c>
      <c r="J1305" s="1795"/>
    </row>
    <row r="1306" spans="1:10">
      <c r="A1306" s="1943" t="s">
        <v>2477</v>
      </c>
      <c r="B1306" s="1944"/>
      <c r="C1306" s="1944"/>
      <c r="D1306" s="1944"/>
      <c r="E1306" s="1944"/>
      <c r="F1306" s="1944"/>
      <c r="G1306" s="1944"/>
      <c r="H1306" s="1945"/>
      <c r="I1306" s="1805">
        <f>SUM(I1302:I1305)</f>
        <v>27.26</v>
      </c>
      <c r="J1306" s="1795"/>
    </row>
    <row r="1307" spans="1:10">
      <c r="A1307" s="1929"/>
      <c r="B1307" s="1930"/>
      <c r="C1307" s="1930"/>
      <c r="D1307" s="1930"/>
      <c r="E1307" s="1930"/>
      <c r="F1307" s="1930"/>
      <c r="G1307" s="1930"/>
      <c r="H1307" s="1930"/>
      <c r="I1307" s="1931"/>
      <c r="J1307" s="1795"/>
    </row>
    <row r="1308" spans="1:10" ht="24.75" customHeight="1">
      <c r="A1308" s="1784" t="str">
        <f>'PLANILHA SEM DESON'!B203</f>
        <v>COMP ELE 23</v>
      </c>
      <c r="B1308" s="1940" t="str">
        <f>VLOOKUP(A1308,'PLANILHA SEM DESON'!$B$17:$D$1700,2,FALSE)</f>
        <v>CAIXA DE PASSAGEM METÁLICA PINTADA DE EMBUTIR 300X300X120 MM - FORNECIMENTO E INSTALAÇÃO</v>
      </c>
      <c r="C1308" s="1941"/>
      <c r="D1308" s="1941"/>
      <c r="E1308" s="1941"/>
      <c r="F1308" s="1941"/>
      <c r="G1308" s="1941"/>
      <c r="H1308" s="1942"/>
      <c r="I1308" s="1785" t="str">
        <f>VLOOKUP(A1308,'PLANILHA SEM DESON'!$B$17:$D$1700,3,FALSE)</f>
        <v xml:space="preserve">un </v>
      </c>
      <c r="J1308" s="1786">
        <f>I1313</f>
        <v>98.31</v>
      </c>
    </row>
    <row r="1309" spans="1:10" ht="24">
      <c r="A1309" s="1788" t="s">
        <v>2470</v>
      </c>
      <c r="B1309" s="1789" t="s">
        <v>2471</v>
      </c>
      <c r="C1309" s="1790" t="s">
        <v>2468</v>
      </c>
      <c r="D1309" s="1791" t="s">
        <v>308</v>
      </c>
      <c r="E1309" s="1790" t="s">
        <v>202</v>
      </c>
      <c r="F1309" s="1792" t="s">
        <v>2472</v>
      </c>
      <c r="G1309" s="1790" t="s">
        <v>2473</v>
      </c>
      <c r="H1309" s="1793" t="s">
        <v>2474</v>
      </c>
      <c r="I1309" s="1794" t="s">
        <v>2475</v>
      </c>
      <c r="J1309" s="1795"/>
    </row>
    <row r="1310" spans="1:10">
      <c r="A1310" s="1797"/>
      <c r="B1310" s="1798"/>
      <c r="C1310" s="1798">
        <v>88264</v>
      </c>
      <c r="D1310" s="1799" t="s">
        <v>94</v>
      </c>
      <c r="E1310" s="1800" t="s">
        <v>57</v>
      </c>
      <c r="F1310" s="1811">
        <v>0.34599999999999997</v>
      </c>
      <c r="G1310" s="1806">
        <v>25.54</v>
      </c>
      <c r="H1310" s="1802">
        <f>IF(E1310="H",G1310,TRUNC(G1310*(1-$K$7),2))</f>
        <v>25.54</v>
      </c>
      <c r="I1310" s="1803">
        <f t="shared" ref="I1310:I1312" si="181">TRUNC(H1310*F1310,2)</f>
        <v>8.83</v>
      </c>
      <c r="J1310" s="1795"/>
    </row>
    <row r="1311" spans="1:10" ht="24">
      <c r="A1311" s="1797"/>
      <c r="B1311" s="1798"/>
      <c r="C1311" s="1798">
        <v>88247</v>
      </c>
      <c r="D1311" s="1799" t="s">
        <v>93</v>
      </c>
      <c r="E1311" s="1800" t="s">
        <v>57</v>
      </c>
      <c r="F1311" s="1811">
        <v>0.34599999999999997</v>
      </c>
      <c r="G1311" s="1806">
        <v>21</v>
      </c>
      <c r="H1311" s="1802">
        <f>IF(E1311="H",G1311,TRUNC(G1311*(1-$K$7),2))</f>
        <v>21</v>
      </c>
      <c r="I1311" s="1803">
        <f t="shared" si="181"/>
        <v>7.26</v>
      </c>
      <c r="J1311" s="1795"/>
    </row>
    <row r="1312" spans="1:10" ht="24">
      <c r="A1312" s="1797"/>
      <c r="B1312" s="1798"/>
      <c r="C1312" s="1798">
        <v>39772</v>
      </c>
      <c r="D1312" s="1799" t="s">
        <v>1597</v>
      </c>
      <c r="E1312" s="1800" t="s">
        <v>55</v>
      </c>
      <c r="F1312" s="1811">
        <v>1</v>
      </c>
      <c r="G1312" s="1806">
        <v>82.65</v>
      </c>
      <c r="H1312" s="1802">
        <f>IF(E1312="H",G1312,TRUNC(G1312*(1-$K$7),2))</f>
        <v>82.22</v>
      </c>
      <c r="I1312" s="1803">
        <f t="shared" si="181"/>
        <v>82.22</v>
      </c>
      <c r="J1312" s="1795"/>
    </row>
    <row r="1313" spans="1:10">
      <c r="A1313" s="1943" t="s">
        <v>2477</v>
      </c>
      <c r="B1313" s="1944"/>
      <c r="C1313" s="1944"/>
      <c r="D1313" s="1944"/>
      <c r="E1313" s="1944"/>
      <c r="F1313" s="1944"/>
      <c r="G1313" s="1944"/>
      <c r="H1313" s="1945"/>
      <c r="I1313" s="1805">
        <f>SUM(I1310:I1312)</f>
        <v>98.31</v>
      </c>
      <c r="J1313" s="1795"/>
    </row>
    <row r="1314" spans="1:10">
      <c r="A1314" s="1929"/>
      <c r="B1314" s="1930"/>
      <c r="C1314" s="1930"/>
      <c r="D1314" s="1930"/>
      <c r="E1314" s="1930"/>
      <c r="F1314" s="1930"/>
      <c r="G1314" s="1930"/>
      <c r="H1314" s="1930"/>
      <c r="I1314" s="1931"/>
      <c r="J1314" s="1795"/>
    </row>
    <row r="1315" spans="1:10" ht="24.75" customHeight="1">
      <c r="A1315" s="1784" t="str">
        <f>'PLANILHA SEM DESON'!B204</f>
        <v>COMP ELE 15</v>
      </c>
      <c r="B1315" s="1940" t="str">
        <f>VLOOKUP(A1315,'PLANILHA SEM DESON'!$B$17:$D$1700,2,FALSE)</f>
        <v>CAIXA DE PASSAGEM METÁLICA PINTADA DE EMBUTIR 400X400X150 MM - FORNECIMENTO E INSTALAÇÃO</v>
      </c>
      <c r="C1315" s="1941"/>
      <c r="D1315" s="1941"/>
      <c r="E1315" s="1941"/>
      <c r="F1315" s="1941"/>
      <c r="G1315" s="1941"/>
      <c r="H1315" s="1942"/>
      <c r="I1315" s="1785" t="str">
        <f>VLOOKUP(A1315,'PLANILHA SEM DESON'!$B$17:$D$1700,3,FALSE)</f>
        <v xml:space="preserve">un </v>
      </c>
      <c r="J1315" s="1786">
        <f>I1320</f>
        <v>148.26</v>
      </c>
    </row>
    <row r="1316" spans="1:10" ht="24">
      <c r="A1316" s="1788" t="s">
        <v>2470</v>
      </c>
      <c r="B1316" s="1789" t="s">
        <v>2471</v>
      </c>
      <c r="C1316" s="1790" t="s">
        <v>2468</v>
      </c>
      <c r="D1316" s="1791" t="s">
        <v>308</v>
      </c>
      <c r="E1316" s="1790" t="s">
        <v>202</v>
      </c>
      <c r="F1316" s="1792" t="s">
        <v>2472</v>
      </c>
      <c r="G1316" s="1790" t="s">
        <v>2473</v>
      </c>
      <c r="H1316" s="1793" t="s">
        <v>2474</v>
      </c>
      <c r="I1316" s="1794" t="s">
        <v>2475</v>
      </c>
      <c r="J1316" s="1795"/>
    </row>
    <row r="1317" spans="1:10">
      <c r="A1317" s="1797"/>
      <c r="B1317" s="1798"/>
      <c r="C1317" s="1798">
        <v>88264</v>
      </c>
      <c r="D1317" s="1799" t="s">
        <v>94</v>
      </c>
      <c r="E1317" s="1800" t="s">
        <v>57</v>
      </c>
      <c r="F1317" s="1811">
        <v>0.34599999999999997</v>
      </c>
      <c r="G1317" s="1806">
        <v>25.54</v>
      </c>
      <c r="H1317" s="1802">
        <f>IF(E1317="H",G1317,TRUNC(G1317*(1-$K$7),2))</f>
        <v>25.54</v>
      </c>
      <c r="I1317" s="1803">
        <f t="shared" ref="I1317:I1319" si="182">TRUNC(H1317*F1317,2)</f>
        <v>8.83</v>
      </c>
      <c r="J1317" s="1795"/>
    </row>
    <row r="1318" spans="1:10" ht="24">
      <c r="A1318" s="1797"/>
      <c r="B1318" s="1798"/>
      <c r="C1318" s="1798">
        <v>88247</v>
      </c>
      <c r="D1318" s="1799" t="s">
        <v>93</v>
      </c>
      <c r="E1318" s="1800" t="s">
        <v>57</v>
      </c>
      <c r="F1318" s="1811">
        <v>0.34599999999999997</v>
      </c>
      <c r="G1318" s="1806">
        <v>21</v>
      </c>
      <c r="H1318" s="1802">
        <f>IF(E1318="H",G1318,TRUNC(G1318*(1-$K$7),2))</f>
        <v>21</v>
      </c>
      <c r="I1318" s="1803">
        <f t="shared" si="182"/>
        <v>7.26</v>
      </c>
      <c r="J1318" s="1795"/>
    </row>
    <row r="1319" spans="1:10" ht="24">
      <c r="A1319" s="1797"/>
      <c r="B1319" s="1798"/>
      <c r="C1319" s="1798">
        <v>39773</v>
      </c>
      <c r="D1319" s="1799" t="s">
        <v>1546</v>
      </c>
      <c r="E1319" s="1800" t="s">
        <v>55</v>
      </c>
      <c r="F1319" s="1811">
        <v>1</v>
      </c>
      <c r="G1319" s="1806">
        <v>132.85</v>
      </c>
      <c r="H1319" s="1802">
        <f>IF(E1319="H",G1319,TRUNC(G1319*(1-$K$7),2))</f>
        <v>132.16999999999999</v>
      </c>
      <c r="I1319" s="1803">
        <f t="shared" si="182"/>
        <v>132.16999999999999</v>
      </c>
      <c r="J1319" s="1795"/>
    </row>
    <row r="1320" spans="1:10">
      <c r="A1320" s="1943" t="s">
        <v>2477</v>
      </c>
      <c r="B1320" s="1944"/>
      <c r="C1320" s="1944"/>
      <c r="D1320" s="1944"/>
      <c r="E1320" s="1944"/>
      <c r="F1320" s="1944"/>
      <c r="G1320" s="1944"/>
      <c r="H1320" s="1945"/>
      <c r="I1320" s="1805">
        <f>SUM(I1317:I1319)</f>
        <v>148.26</v>
      </c>
      <c r="J1320" s="1795"/>
    </row>
    <row r="1321" spans="1:10">
      <c r="A1321" s="1929"/>
      <c r="B1321" s="1930"/>
      <c r="C1321" s="1930"/>
      <c r="D1321" s="1930"/>
      <c r="E1321" s="1930"/>
      <c r="F1321" s="1930"/>
      <c r="G1321" s="1930"/>
      <c r="H1321" s="1930"/>
      <c r="I1321" s="1931"/>
      <c r="J1321" s="1795"/>
    </row>
    <row r="1322" spans="1:10" ht="24.75" customHeight="1">
      <c r="A1322" s="1784" t="str">
        <f>'PLANILHA SEM DESON'!B205</f>
        <v>COMP ELE 25</v>
      </c>
      <c r="B1322" s="1940" t="str">
        <f>VLOOKUP(A1322,'PLANILHA SEM DESON'!$B$17:$D$1700,2,FALSE)</f>
        <v>DISPOSITIVO DE PROTEÇÃO CONTRA SURTO (DPS) 175V - 10 KA</v>
      </c>
      <c r="C1322" s="1941"/>
      <c r="D1322" s="1941"/>
      <c r="E1322" s="1941"/>
      <c r="F1322" s="1941"/>
      <c r="G1322" s="1941"/>
      <c r="H1322" s="1942"/>
      <c r="I1322" s="1785" t="str">
        <f>VLOOKUP(A1322,'PLANILHA SEM DESON'!$B$17:$D$1700,3,FALSE)</f>
        <v xml:space="preserve">un </v>
      </c>
      <c r="J1322" s="1786">
        <f>I1327</f>
        <v>88.62</v>
      </c>
    </row>
    <row r="1323" spans="1:10" ht="24">
      <c r="A1323" s="1788" t="s">
        <v>2470</v>
      </c>
      <c r="B1323" s="1789" t="s">
        <v>2471</v>
      </c>
      <c r="C1323" s="1790" t="s">
        <v>2468</v>
      </c>
      <c r="D1323" s="1791" t="s">
        <v>308</v>
      </c>
      <c r="E1323" s="1790" t="s">
        <v>202</v>
      </c>
      <c r="F1323" s="1792" t="s">
        <v>2472</v>
      </c>
      <c r="G1323" s="1790" t="s">
        <v>2473</v>
      </c>
      <c r="H1323" s="1793" t="s">
        <v>2474</v>
      </c>
      <c r="I1323" s="1794" t="s">
        <v>2475</v>
      </c>
      <c r="J1323" s="1795"/>
    </row>
    <row r="1324" spans="1:10">
      <c r="A1324" s="1797"/>
      <c r="B1324" s="1798"/>
      <c r="C1324" s="1798">
        <v>88264</v>
      </c>
      <c r="D1324" s="1799" t="s">
        <v>94</v>
      </c>
      <c r="E1324" s="1800" t="s">
        <v>57</v>
      </c>
      <c r="F1324" s="1811">
        <v>0.3</v>
      </c>
      <c r="G1324" s="1806">
        <v>25.54</v>
      </c>
      <c r="H1324" s="1802">
        <f>IF(E1324="H",G1324,TRUNC(G1324*(1-$K$7),2))</f>
        <v>25.54</v>
      </c>
      <c r="I1324" s="1803">
        <f t="shared" ref="I1324:I1326" si="183">TRUNC(H1324*F1324,2)</f>
        <v>7.66</v>
      </c>
      <c r="J1324" s="1795"/>
    </row>
    <row r="1325" spans="1:10" ht="24">
      <c r="A1325" s="1797"/>
      <c r="B1325" s="1798"/>
      <c r="C1325" s="1798">
        <v>88247</v>
      </c>
      <c r="D1325" s="1799" t="s">
        <v>93</v>
      </c>
      <c r="E1325" s="1800" t="s">
        <v>57</v>
      </c>
      <c r="F1325" s="1811">
        <v>0.3</v>
      </c>
      <c r="G1325" s="1806">
        <v>21</v>
      </c>
      <c r="H1325" s="1802">
        <f>IF(E1325="H",G1325,TRUNC(G1325*(1-$K$7),2))</f>
        <v>21</v>
      </c>
      <c r="I1325" s="1803">
        <f t="shared" si="183"/>
        <v>6.3</v>
      </c>
      <c r="J1325" s="1795"/>
    </row>
    <row r="1326" spans="1:10" ht="24">
      <c r="A1326" s="1797"/>
      <c r="B1326" s="1798"/>
      <c r="C1326" s="1798">
        <v>39465</v>
      </c>
      <c r="D1326" s="1799" t="s">
        <v>1606</v>
      </c>
      <c r="E1326" s="1800" t="s">
        <v>55</v>
      </c>
      <c r="F1326" s="1811">
        <v>1</v>
      </c>
      <c r="G1326" s="1806">
        <v>75.05</v>
      </c>
      <c r="H1326" s="1802">
        <f>IF(E1326="H",G1326,TRUNC(G1326*(1-$K$7),2))</f>
        <v>74.66</v>
      </c>
      <c r="I1326" s="1803">
        <f t="shared" si="183"/>
        <v>74.66</v>
      </c>
      <c r="J1326" s="1795"/>
    </row>
    <row r="1327" spans="1:10">
      <c r="A1327" s="1943" t="s">
        <v>2477</v>
      </c>
      <c r="B1327" s="1944"/>
      <c r="C1327" s="1944"/>
      <c r="D1327" s="1944"/>
      <c r="E1327" s="1944"/>
      <c r="F1327" s="1944"/>
      <c r="G1327" s="1944"/>
      <c r="H1327" s="1945"/>
      <c r="I1327" s="1805">
        <f>SUM(I1324:I1326)</f>
        <v>88.62</v>
      </c>
      <c r="J1327" s="1795"/>
    </row>
    <row r="1328" spans="1:10">
      <c r="A1328" s="1929"/>
      <c r="B1328" s="1930"/>
      <c r="C1328" s="1930"/>
      <c r="D1328" s="1930"/>
      <c r="E1328" s="1930"/>
      <c r="F1328" s="1930"/>
      <c r="G1328" s="1930"/>
      <c r="H1328" s="1930"/>
      <c r="I1328" s="1931"/>
      <c r="J1328" s="1795"/>
    </row>
    <row r="1329" spans="1:10" ht="24.75" customHeight="1">
      <c r="A1329" s="1784" t="str">
        <f>'PLANILHA SEM DESON'!B206</f>
        <v>COMP ELE 11</v>
      </c>
      <c r="B1329" s="1940" t="str">
        <f>VLOOKUP(A1329,'PLANILHA SEM DESON'!$B$17:$D$1700,2,FALSE)</f>
        <v>ABRAÇADEIRA METÁLICA TIPO "D" COM CUNHA DN 3/4"</v>
      </c>
      <c r="C1329" s="1941"/>
      <c r="D1329" s="1941"/>
      <c r="E1329" s="1941"/>
      <c r="F1329" s="1941"/>
      <c r="G1329" s="1941"/>
      <c r="H1329" s="1942"/>
      <c r="I1329" s="1785" t="str">
        <f>VLOOKUP(A1329,'PLANILHA SEM DESON'!$B$17:$D$1700,3,FALSE)</f>
        <v xml:space="preserve">un </v>
      </c>
      <c r="J1329" s="1786">
        <f>I1334</f>
        <v>4.18</v>
      </c>
    </row>
    <row r="1330" spans="1:10" ht="24">
      <c r="A1330" s="1788" t="s">
        <v>2470</v>
      </c>
      <c r="B1330" s="1789" t="s">
        <v>2471</v>
      </c>
      <c r="C1330" s="1790" t="s">
        <v>2468</v>
      </c>
      <c r="D1330" s="1791" t="s">
        <v>308</v>
      </c>
      <c r="E1330" s="1790" t="s">
        <v>202</v>
      </c>
      <c r="F1330" s="1792" t="s">
        <v>2472</v>
      </c>
      <c r="G1330" s="1790" t="s">
        <v>2473</v>
      </c>
      <c r="H1330" s="1793" t="s">
        <v>2474</v>
      </c>
      <c r="I1330" s="1794" t="s">
        <v>2475</v>
      </c>
      <c r="J1330" s="1795"/>
    </row>
    <row r="1331" spans="1:10">
      <c r="A1331" s="1797"/>
      <c r="B1331" s="1798"/>
      <c r="C1331" s="1798">
        <v>88264</v>
      </c>
      <c r="D1331" s="1799" t="s">
        <v>94</v>
      </c>
      <c r="E1331" s="1800" t="s">
        <v>57</v>
      </c>
      <c r="F1331" s="1811">
        <v>0.05</v>
      </c>
      <c r="G1331" s="1806">
        <v>25.54</v>
      </c>
      <c r="H1331" s="1802">
        <f>IF(E1331="H",G1331,TRUNC(G1331*(1-$K$7),2))</f>
        <v>25.54</v>
      </c>
      <c r="I1331" s="1803">
        <f t="shared" ref="I1331:I1333" si="184">TRUNC(H1331*F1331,2)</f>
        <v>1.27</v>
      </c>
      <c r="J1331" s="1795"/>
    </row>
    <row r="1332" spans="1:10" ht="24">
      <c r="A1332" s="1797"/>
      <c r="B1332" s="1798"/>
      <c r="C1332" s="1798">
        <v>88247</v>
      </c>
      <c r="D1332" s="1799" t="s">
        <v>93</v>
      </c>
      <c r="E1332" s="1800" t="s">
        <v>57</v>
      </c>
      <c r="F1332" s="1811">
        <v>2.5000000000000001E-2</v>
      </c>
      <c r="G1332" s="1806">
        <v>21</v>
      </c>
      <c r="H1332" s="1802">
        <f>IF(E1332="H",G1332,TRUNC(G1332*(1-$K$7),2))</f>
        <v>21</v>
      </c>
      <c r="I1332" s="1803">
        <f t="shared" si="184"/>
        <v>0.52</v>
      </c>
      <c r="J1332" s="1795"/>
    </row>
    <row r="1333" spans="1:10" ht="24">
      <c r="A1333" s="1797"/>
      <c r="B1333" s="1798"/>
      <c r="C1333" s="1798">
        <v>39128</v>
      </c>
      <c r="D1333" s="1799" t="s">
        <v>1613</v>
      </c>
      <c r="E1333" s="1800" t="s">
        <v>55</v>
      </c>
      <c r="F1333" s="1811">
        <v>1</v>
      </c>
      <c r="G1333" s="1806">
        <v>2.41</v>
      </c>
      <c r="H1333" s="1802">
        <f>IF(E1333="H",G1333,TRUNC(G1333*(1-$K$7),2))</f>
        <v>2.39</v>
      </c>
      <c r="I1333" s="1803">
        <f t="shared" si="184"/>
        <v>2.39</v>
      </c>
      <c r="J1333" s="1795"/>
    </row>
    <row r="1334" spans="1:10">
      <c r="A1334" s="1943" t="s">
        <v>2477</v>
      </c>
      <c r="B1334" s="1944"/>
      <c r="C1334" s="1944"/>
      <c r="D1334" s="1944"/>
      <c r="E1334" s="1944"/>
      <c r="F1334" s="1944"/>
      <c r="G1334" s="1944"/>
      <c r="H1334" s="1945"/>
      <c r="I1334" s="1805">
        <f>SUM(I1331:I1333)</f>
        <v>4.18</v>
      </c>
      <c r="J1334" s="1795"/>
    </row>
    <row r="1335" spans="1:10">
      <c r="A1335" s="1929"/>
      <c r="B1335" s="1930"/>
      <c r="C1335" s="1930"/>
      <c r="D1335" s="1930"/>
      <c r="E1335" s="1930"/>
      <c r="F1335" s="1930"/>
      <c r="G1335" s="1930"/>
      <c r="H1335" s="1930"/>
      <c r="I1335" s="1931"/>
      <c r="J1335" s="1795"/>
    </row>
    <row r="1336" spans="1:10" ht="24.75" customHeight="1">
      <c r="A1336" s="1784" t="str">
        <f>'PLANILHA SEM DESON'!B207</f>
        <v>COMP ELE 27</v>
      </c>
      <c r="B1336" s="1940" t="str">
        <f>VLOOKUP(A1336,'PLANILHA SEM DESON'!$B$17:$D$1700,2,FALSE)</f>
        <v>ABRAÇADEIRA METÁLICA TIPO "D" COM UNHA DN 3/4"</v>
      </c>
      <c r="C1336" s="1941"/>
      <c r="D1336" s="1941"/>
      <c r="E1336" s="1941"/>
      <c r="F1336" s="1941"/>
      <c r="G1336" s="1941"/>
      <c r="H1336" s="1942"/>
      <c r="I1336" s="1785" t="str">
        <f>VLOOKUP(A1336,'PLANILHA SEM DESON'!$B$17:$D$1700,3,FALSE)</f>
        <v xml:space="preserve">un </v>
      </c>
      <c r="J1336" s="1786">
        <f>I1341</f>
        <v>3.98</v>
      </c>
    </row>
    <row r="1337" spans="1:10" ht="24">
      <c r="A1337" s="1788" t="s">
        <v>2470</v>
      </c>
      <c r="B1337" s="1789" t="s">
        <v>2471</v>
      </c>
      <c r="C1337" s="1790" t="s">
        <v>2468</v>
      </c>
      <c r="D1337" s="1791" t="s">
        <v>308</v>
      </c>
      <c r="E1337" s="1790" t="s">
        <v>202</v>
      </c>
      <c r="F1337" s="1792" t="s">
        <v>2472</v>
      </c>
      <c r="G1337" s="1790" t="s">
        <v>2473</v>
      </c>
      <c r="H1337" s="1793" t="s">
        <v>2474</v>
      </c>
      <c r="I1337" s="1794" t="s">
        <v>2475</v>
      </c>
      <c r="J1337" s="1795"/>
    </row>
    <row r="1338" spans="1:10">
      <c r="A1338" s="1797"/>
      <c r="B1338" s="1798"/>
      <c r="C1338" s="1798">
        <v>88264</v>
      </c>
      <c r="D1338" s="1799" t="s">
        <v>94</v>
      </c>
      <c r="E1338" s="1800" t="s">
        <v>57</v>
      </c>
      <c r="F1338" s="1811">
        <v>0.05</v>
      </c>
      <c r="G1338" s="1806">
        <v>25.54</v>
      </c>
      <c r="H1338" s="1802">
        <f>IF(E1338="H",G1338,TRUNC(G1338*(1-$K$7),2))</f>
        <v>25.54</v>
      </c>
      <c r="I1338" s="1803">
        <f t="shared" ref="I1338:I1340" si="185">TRUNC(H1338*F1338,2)</f>
        <v>1.27</v>
      </c>
      <c r="J1338" s="1795"/>
    </row>
    <row r="1339" spans="1:10" ht="24">
      <c r="A1339" s="1797"/>
      <c r="B1339" s="1798"/>
      <c r="C1339" s="1798">
        <v>88247</v>
      </c>
      <c r="D1339" s="1799" t="s">
        <v>93</v>
      </c>
      <c r="E1339" s="1800" t="s">
        <v>57</v>
      </c>
      <c r="F1339" s="1811">
        <v>2.5000000000000001E-2</v>
      </c>
      <c r="G1339" s="1806">
        <v>21</v>
      </c>
      <c r="H1339" s="1802">
        <f>IF(E1339="H",G1339,TRUNC(G1339*(1-$K$7),2))</f>
        <v>21</v>
      </c>
      <c r="I1339" s="1803">
        <f t="shared" si="185"/>
        <v>0.52</v>
      </c>
      <c r="J1339" s="1795"/>
    </row>
    <row r="1340" spans="1:10" ht="24">
      <c r="A1340" s="1797"/>
      <c r="B1340" s="1798"/>
      <c r="C1340" s="1798" t="s">
        <v>65</v>
      </c>
      <c r="D1340" s="1799" t="s">
        <v>2136</v>
      </c>
      <c r="E1340" s="1800" t="s">
        <v>55</v>
      </c>
      <c r="F1340" s="1811">
        <v>1</v>
      </c>
      <c r="G1340" s="1806">
        <v>2.21</v>
      </c>
      <c r="H1340" s="1802">
        <f>IF(E1340="H",G1340,TRUNC(G1340*(1-$K$7),2))</f>
        <v>2.19</v>
      </c>
      <c r="I1340" s="1803">
        <f t="shared" si="185"/>
        <v>2.19</v>
      </c>
      <c r="J1340" s="1795"/>
    </row>
    <row r="1341" spans="1:10">
      <c r="A1341" s="1943" t="s">
        <v>2477</v>
      </c>
      <c r="B1341" s="1944"/>
      <c r="C1341" s="1944"/>
      <c r="D1341" s="1944"/>
      <c r="E1341" s="1944"/>
      <c r="F1341" s="1944"/>
      <c r="G1341" s="1944"/>
      <c r="H1341" s="1945"/>
      <c r="I1341" s="1805">
        <f>SUM(I1338:I1340)</f>
        <v>3.98</v>
      </c>
      <c r="J1341" s="1795"/>
    </row>
    <row r="1342" spans="1:10">
      <c r="A1342" s="1929"/>
      <c r="B1342" s="1930"/>
      <c r="C1342" s="1930"/>
      <c r="D1342" s="1930"/>
      <c r="E1342" s="1930"/>
      <c r="F1342" s="1930"/>
      <c r="G1342" s="1930"/>
      <c r="H1342" s="1930"/>
      <c r="I1342" s="1931"/>
      <c r="J1342" s="1795"/>
    </row>
    <row r="1343" spans="1:10" ht="24.75" customHeight="1">
      <c r="A1343" s="1784">
        <f>'PLANILHA SEM DESON'!B208</f>
        <v>95727</v>
      </c>
      <c r="B1343" s="1940" t="str">
        <f>VLOOKUP(A1343,'PLANILHA SEM DESON'!$B$17:$D$1700,2,FALSE)</f>
        <v>ELETRODUTO RÍGIDO SOLDÁVEL, PVC, DN 25 MM (3/4), APARENTE, INSTALADO EM TETO - FORNECIMENTO E INSTALAÇÃO. AF_11/2016</v>
      </c>
      <c r="C1343" s="1941"/>
      <c r="D1343" s="1941"/>
      <c r="E1343" s="1941"/>
      <c r="F1343" s="1941"/>
      <c r="G1343" s="1941"/>
      <c r="H1343" s="1942"/>
      <c r="I1343" s="1785" t="str">
        <f>VLOOKUP(A1343,'PLANILHA SEM DESON'!$B$17:$D$1700,3,FALSE)</f>
        <v>m</v>
      </c>
      <c r="J1343" s="1786">
        <f>I1349</f>
        <v>11.969999999999999</v>
      </c>
    </row>
    <row r="1344" spans="1:10" ht="24">
      <c r="A1344" s="1788" t="s">
        <v>2470</v>
      </c>
      <c r="B1344" s="1789" t="s">
        <v>2471</v>
      </c>
      <c r="C1344" s="1790" t="s">
        <v>2468</v>
      </c>
      <c r="D1344" s="1791" t="s">
        <v>308</v>
      </c>
      <c r="E1344" s="1790" t="s">
        <v>202</v>
      </c>
      <c r="F1344" s="1792" t="s">
        <v>2472</v>
      </c>
      <c r="G1344" s="1790" t="s">
        <v>2473</v>
      </c>
      <c r="H1344" s="1793" t="s">
        <v>2474</v>
      </c>
      <c r="I1344" s="1794" t="s">
        <v>2475</v>
      </c>
      <c r="J1344" s="1795"/>
    </row>
    <row r="1345" spans="1:10" ht="24">
      <c r="A1345" s="1797" t="s">
        <v>2476</v>
      </c>
      <c r="B1345" s="1798" t="s">
        <v>2479</v>
      </c>
      <c r="C1345" s="1798">
        <v>2678</v>
      </c>
      <c r="D1345" s="1799" t="s">
        <v>2715</v>
      </c>
      <c r="E1345" s="1800" t="s">
        <v>160</v>
      </c>
      <c r="F1345" s="1807">
        <v>1.0538000000000001</v>
      </c>
      <c r="G1345" s="1801">
        <v>2.83</v>
      </c>
      <c r="H1345" s="1802">
        <f>IF(E1345="H",G1345,TRUNC(G1345*(1-$K$7),2))</f>
        <v>2.81</v>
      </c>
      <c r="I1345" s="1803">
        <f t="shared" ref="I1345:I1348" si="186">TRUNC(H1345*F1345,2)</f>
        <v>2.96</v>
      </c>
      <c r="J1345" s="1795"/>
    </row>
    <row r="1346" spans="1:10" ht="24">
      <c r="A1346" s="1797" t="s">
        <v>2476</v>
      </c>
      <c r="B1346" s="1798" t="s">
        <v>7</v>
      </c>
      <c r="C1346" s="1798">
        <v>88247</v>
      </c>
      <c r="D1346" s="1799" t="s">
        <v>93</v>
      </c>
      <c r="E1346" s="1800" t="s">
        <v>411</v>
      </c>
      <c r="F1346" s="1807">
        <v>0.122</v>
      </c>
      <c r="G1346" s="1801">
        <v>21</v>
      </c>
      <c r="H1346" s="1802">
        <f>IF(E1346="H",G1346,TRUNC(G1346*(1-$K$7),2))</f>
        <v>21</v>
      </c>
      <c r="I1346" s="1803">
        <f t="shared" si="186"/>
        <v>2.56</v>
      </c>
      <c r="J1346" s="1795"/>
    </row>
    <row r="1347" spans="1:10">
      <c r="A1347" s="1797" t="s">
        <v>2476</v>
      </c>
      <c r="B1347" s="1798" t="s">
        <v>7</v>
      </c>
      <c r="C1347" s="1798">
        <v>88264</v>
      </c>
      <c r="D1347" s="1799" t="s">
        <v>94</v>
      </c>
      <c r="E1347" s="1800" t="s">
        <v>411</v>
      </c>
      <c r="F1347" s="1807">
        <v>0.122</v>
      </c>
      <c r="G1347" s="1801">
        <v>25.54</v>
      </c>
      <c r="H1347" s="1802">
        <f>IF(E1347="H",G1347,TRUNC(G1347*(1-$K$7),2))</f>
        <v>25.54</v>
      </c>
      <c r="I1347" s="1803">
        <f t="shared" si="186"/>
        <v>3.11</v>
      </c>
      <c r="J1347" s="1795"/>
    </row>
    <row r="1348" spans="1:10" ht="60">
      <c r="A1348" s="1797" t="s">
        <v>2476</v>
      </c>
      <c r="B1348" s="1798" t="s">
        <v>7</v>
      </c>
      <c r="C1348" s="1798">
        <v>91170</v>
      </c>
      <c r="D1348" s="1799" t="s">
        <v>2531</v>
      </c>
      <c r="E1348" s="1800" t="s">
        <v>160</v>
      </c>
      <c r="F1348" s="1807">
        <v>1</v>
      </c>
      <c r="G1348" s="1801">
        <v>3.36</v>
      </c>
      <c r="H1348" s="1802">
        <f>IF(E1348="H",G1348,TRUNC(G1348*(1-$K$7),2))</f>
        <v>3.34</v>
      </c>
      <c r="I1348" s="1803">
        <f t="shared" si="186"/>
        <v>3.34</v>
      </c>
      <c r="J1348" s="1795"/>
    </row>
    <row r="1349" spans="1:10">
      <c r="A1349" s="1943" t="s">
        <v>2477</v>
      </c>
      <c r="B1349" s="1944"/>
      <c r="C1349" s="1944"/>
      <c r="D1349" s="1944"/>
      <c r="E1349" s="1944"/>
      <c r="F1349" s="1944"/>
      <c r="G1349" s="1944"/>
      <c r="H1349" s="1945"/>
      <c r="I1349" s="1805">
        <f>SUM(I1345:I1348)</f>
        <v>11.969999999999999</v>
      </c>
      <c r="J1349" s="1795"/>
    </row>
    <row r="1350" spans="1:10">
      <c r="A1350" s="1929"/>
      <c r="B1350" s="1930"/>
      <c r="C1350" s="1930"/>
      <c r="D1350" s="1930"/>
      <c r="E1350" s="1930"/>
      <c r="F1350" s="1930"/>
      <c r="G1350" s="1930"/>
      <c r="H1350" s="1930"/>
      <c r="I1350" s="1931"/>
      <c r="J1350" s="1795"/>
    </row>
    <row r="1351" spans="1:10" ht="24.75" customHeight="1">
      <c r="A1351" s="1784">
        <f>'PLANILHA SEM DESON'!B209</f>
        <v>91846</v>
      </c>
      <c r="B1351" s="1940" t="str">
        <f>VLOOKUP(A1351,'PLANILHA SEM DESON'!$B$17:$D$1700,2,FALSE)</f>
        <v>ELETRODUTO FLEXÍVEL CORRUGADO, PVC, DN 32 MM (1"), PARA CIRCUITOS TERMINAIS, INSTALADO EM LAJE - FORNECIMENTO E INSTALAÇÃO. AF_12/2015</v>
      </c>
      <c r="C1351" s="1941"/>
      <c r="D1351" s="1941"/>
      <c r="E1351" s="1941"/>
      <c r="F1351" s="1941"/>
      <c r="G1351" s="1941"/>
      <c r="H1351" s="1942"/>
      <c r="I1351" s="1785" t="str">
        <f>VLOOKUP(A1351,'PLANILHA SEM DESON'!$B$17:$D$1700,3,FALSE)</f>
        <v>m</v>
      </c>
      <c r="J1351" s="1786">
        <f>I1357</f>
        <v>9.77</v>
      </c>
    </row>
    <row r="1352" spans="1:10" ht="24">
      <c r="A1352" s="1788" t="s">
        <v>2470</v>
      </c>
      <c r="B1352" s="1789" t="s">
        <v>2471</v>
      </c>
      <c r="C1352" s="1790" t="s">
        <v>2468</v>
      </c>
      <c r="D1352" s="1791" t="s">
        <v>308</v>
      </c>
      <c r="E1352" s="1790" t="s">
        <v>202</v>
      </c>
      <c r="F1352" s="1792" t="s">
        <v>2472</v>
      </c>
      <c r="G1352" s="1790" t="s">
        <v>2473</v>
      </c>
      <c r="H1352" s="1793" t="s">
        <v>2474</v>
      </c>
      <c r="I1352" s="1794" t="s">
        <v>2475</v>
      </c>
      <c r="J1352" s="1795"/>
    </row>
    <row r="1353" spans="1:10" ht="24">
      <c r="A1353" s="1797" t="s">
        <v>2476</v>
      </c>
      <c r="B1353" s="1798" t="s">
        <v>2479</v>
      </c>
      <c r="C1353" s="1798">
        <v>2690</v>
      </c>
      <c r="D1353" s="1799" t="s">
        <v>2716</v>
      </c>
      <c r="E1353" s="1800" t="s">
        <v>160</v>
      </c>
      <c r="F1353" s="1807">
        <v>1.1000000000000001</v>
      </c>
      <c r="G1353" s="1801">
        <v>4.3600000000000003</v>
      </c>
      <c r="H1353" s="1802">
        <f>IF(E1353="H",G1353,TRUNC(G1353*(1-$K$7),2))</f>
        <v>4.33</v>
      </c>
      <c r="I1353" s="1803">
        <f t="shared" ref="I1353:I1356" si="187">TRUNC(H1353*F1353,2)</f>
        <v>4.76</v>
      </c>
      <c r="J1353" s="1795"/>
    </row>
    <row r="1354" spans="1:10" ht="24">
      <c r="A1354" s="1797" t="s">
        <v>2476</v>
      </c>
      <c r="B1354" s="1798" t="s">
        <v>2479</v>
      </c>
      <c r="C1354" s="1798">
        <v>43132</v>
      </c>
      <c r="D1354" s="1799" t="s">
        <v>2628</v>
      </c>
      <c r="E1354" s="1800" t="s">
        <v>1383</v>
      </c>
      <c r="F1354" s="1807">
        <v>2E-3</v>
      </c>
      <c r="G1354" s="1801">
        <v>24.9</v>
      </c>
      <c r="H1354" s="1802">
        <f>IF(E1354="H",G1354,TRUNC(G1354*(1-$K$7),2))</f>
        <v>24.77</v>
      </c>
      <c r="I1354" s="1803">
        <f t="shared" si="187"/>
        <v>0.04</v>
      </c>
      <c r="J1354" s="1795"/>
    </row>
    <row r="1355" spans="1:10" ht="24">
      <c r="A1355" s="1797" t="s">
        <v>2476</v>
      </c>
      <c r="B1355" s="1798" t="s">
        <v>7</v>
      </c>
      <c r="C1355" s="1798">
        <v>88247</v>
      </c>
      <c r="D1355" s="1799" t="s">
        <v>93</v>
      </c>
      <c r="E1355" s="1800" t="s">
        <v>411</v>
      </c>
      <c r="F1355" s="1807">
        <v>0.107</v>
      </c>
      <c r="G1355" s="1801">
        <v>21</v>
      </c>
      <c r="H1355" s="1802">
        <f>IF(E1355="H",G1355,TRUNC(G1355*(1-$K$7),2))</f>
        <v>21</v>
      </c>
      <c r="I1355" s="1803">
        <f t="shared" si="187"/>
        <v>2.2400000000000002</v>
      </c>
      <c r="J1355" s="1795"/>
    </row>
    <row r="1356" spans="1:10">
      <c r="A1356" s="1797" t="s">
        <v>2476</v>
      </c>
      <c r="B1356" s="1798" t="s">
        <v>7</v>
      </c>
      <c r="C1356" s="1798">
        <v>88264</v>
      </c>
      <c r="D1356" s="1799" t="s">
        <v>94</v>
      </c>
      <c r="E1356" s="1800" t="s">
        <v>411</v>
      </c>
      <c r="F1356" s="1807">
        <v>0.107</v>
      </c>
      <c r="G1356" s="1801">
        <v>25.54</v>
      </c>
      <c r="H1356" s="1802">
        <f>IF(E1356="H",G1356,TRUNC(G1356*(1-$K$7),2))</f>
        <v>25.54</v>
      </c>
      <c r="I1356" s="1803">
        <f t="shared" si="187"/>
        <v>2.73</v>
      </c>
      <c r="J1356" s="1795"/>
    </row>
    <row r="1357" spans="1:10">
      <c r="A1357" s="1943" t="s">
        <v>2477</v>
      </c>
      <c r="B1357" s="1944"/>
      <c r="C1357" s="1944"/>
      <c r="D1357" s="1944"/>
      <c r="E1357" s="1944"/>
      <c r="F1357" s="1944"/>
      <c r="G1357" s="1944"/>
      <c r="H1357" s="1945"/>
      <c r="I1357" s="1805">
        <f>SUM(I1353:I1356)</f>
        <v>9.77</v>
      </c>
      <c r="J1357" s="1795"/>
    </row>
    <row r="1358" spans="1:10">
      <c r="A1358" s="1929"/>
      <c r="B1358" s="1930"/>
      <c r="C1358" s="1930"/>
      <c r="D1358" s="1930"/>
      <c r="E1358" s="1930"/>
      <c r="F1358" s="1930"/>
      <c r="G1358" s="1930"/>
      <c r="H1358" s="1930"/>
      <c r="I1358" s="1931"/>
      <c r="J1358" s="1795"/>
    </row>
    <row r="1359" spans="1:10" ht="24.75" customHeight="1">
      <c r="A1359" s="1784">
        <f>'PLANILHA SEM DESON'!B210</f>
        <v>91844</v>
      </c>
      <c r="B1359" s="1940" t="str">
        <f>VLOOKUP(A1359,'PLANILHA SEM DESON'!$B$17:$D$1700,2,FALSE)</f>
        <v>ELETRODUTO FLEXÍVEL CORRUGADO, PVC, DN 25 MM (3/4"), PARA CIRCUITOS TERMINAIS, INSTALADO EM LAJE - FORNECIMENTO E INSTALAÇÃO. AF_12/2015</v>
      </c>
      <c r="C1359" s="1941"/>
      <c r="D1359" s="1941"/>
      <c r="E1359" s="1941"/>
      <c r="F1359" s="1941"/>
      <c r="G1359" s="1941"/>
      <c r="H1359" s="1942"/>
      <c r="I1359" s="1785" t="str">
        <f>VLOOKUP(A1359,'PLANILHA SEM DESON'!$B$17:$D$1700,3,FALSE)</f>
        <v>m</v>
      </c>
      <c r="J1359" s="1786">
        <f>I1365</f>
        <v>6.85</v>
      </c>
    </row>
    <row r="1360" spans="1:10" ht="24">
      <c r="A1360" s="1788" t="s">
        <v>2470</v>
      </c>
      <c r="B1360" s="1789" t="s">
        <v>2471</v>
      </c>
      <c r="C1360" s="1790" t="s">
        <v>2468</v>
      </c>
      <c r="D1360" s="1791" t="s">
        <v>308</v>
      </c>
      <c r="E1360" s="1790" t="s">
        <v>202</v>
      </c>
      <c r="F1360" s="1792" t="s">
        <v>2472</v>
      </c>
      <c r="G1360" s="1790" t="s">
        <v>2473</v>
      </c>
      <c r="H1360" s="1793" t="s">
        <v>2474</v>
      </c>
      <c r="I1360" s="1794" t="s">
        <v>2475</v>
      </c>
      <c r="J1360" s="1795"/>
    </row>
    <row r="1361" spans="1:10" ht="24">
      <c r="A1361" s="1797" t="s">
        <v>2476</v>
      </c>
      <c r="B1361" s="1798" t="s">
        <v>2479</v>
      </c>
      <c r="C1361" s="1798">
        <v>2688</v>
      </c>
      <c r="D1361" s="1799" t="s">
        <v>2717</v>
      </c>
      <c r="E1361" s="1800" t="s">
        <v>160</v>
      </c>
      <c r="F1361" s="1807">
        <v>1.1000000000000001</v>
      </c>
      <c r="G1361" s="1801">
        <v>2.54</v>
      </c>
      <c r="H1361" s="1802">
        <f>IF(E1361="H",G1361,TRUNC(G1361*(1-$K$7),2))</f>
        <v>2.52</v>
      </c>
      <c r="I1361" s="1803">
        <f t="shared" ref="I1361:I1364" si="188">TRUNC(H1361*F1361,2)</f>
        <v>2.77</v>
      </c>
      <c r="J1361" s="1795"/>
    </row>
    <row r="1362" spans="1:10" ht="24">
      <c r="A1362" s="1797" t="s">
        <v>2476</v>
      </c>
      <c r="B1362" s="1798" t="s">
        <v>2479</v>
      </c>
      <c r="C1362" s="1798">
        <v>43132</v>
      </c>
      <c r="D1362" s="1799" t="s">
        <v>2628</v>
      </c>
      <c r="E1362" s="1800" t="s">
        <v>1383</v>
      </c>
      <c r="F1362" s="1807">
        <v>1.8E-3</v>
      </c>
      <c r="G1362" s="1801">
        <v>24.9</v>
      </c>
      <c r="H1362" s="1802">
        <f>IF(E1362="H",G1362,TRUNC(G1362*(1-$K$7),2))</f>
        <v>24.77</v>
      </c>
      <c r="I1362" s="1803">
        <f t="shared" si="188"/>
        <v>0.04</v>
      </c>
      <c r="J1362" s="1795"/>
    </row>
    <row r="1363" spans="1:10" ht="24">
      <c r="A1363" s="1797" t="s">
        <v>2476</v>
      </c>
      <c r="B1363" s="1798" t="s">
        <v>7</v>
      </c>
      <c r="C1363" s="1798">
        <v>88247</v>
      </c>
      <c r="D1363" s="1799" t="s">
        <v>93</v>
      </c>
      <c r="E1363" s="1800" t="s">
        <v>411</v>
      </c>
      <c r="F1363" s="1807">
        <v>8.6999999999999994E-2</v>
      </c>
      <c r="G1363" s="1801">
        <v>21</v>
      </c>
      <c r="H1363" s="1802">
        <f>IF(E1363="H",G1363,TRUNC(G1363*(1-$K$7),2))</f>
        <v>21</v>
      </c>
      <c r="I1363" s="1803">
        <f t="shared" si="188"/>
        <v>1.82</v>
      </c>
      <c r="J1363" s="1795"/>
    </row>
    <row r="1364" spans="1:10">
      <c r="A1364" s="1797" t="s">
        <v>2476</v>
      </c>
      <c r="B1364" s="1798" t="s">
        <v>7</v>
      </c>
      <c r="C1364" s="1798">
        <v>88264</v>
      </c>
      <c r="D1364" s="1799" t="s">
        <v>94</v>
      </c>
      <c r="E1364" s="1800" t="s">
        <v>411</v>
      </c>
      <c r="F1364" s="1807">
        <v>8.6999999999999994E-2</v>
      </c>
      <c r="G1364" s="1801">
        <v>25.54</v>
      </c>
      <c r="H1364" s="1802">
        <f>IF(E1364="H",G1364,TRUNC(G1364*(1-$K$7),2))</f>
        <v>25.54</v>
      </c>
      <c r="I1364" s="1803">
        <f t="shared" si="188"/>
        <v>2.2200000000000002</v>
      </c>
      <c r="J1364" s="1795"/>
    </row>
    <row r="1365" spans="1:10">
      <c r="A1365" s="1943" t="s">
        <v>2477</v>
      </c>
      <c r="B1365" s="1944"/>
      <c r="C1365" s="1944"/>
      <c r="D1365" s="1944"/>
      <c r="E1365" s="1944"/>
      <c r="F1365" s="1944"/>
      <c r="G1365" s="1944"/>
      <c r="H1365" s="1945"/>
      <c r="I1365" s="1805">
        <f>SUM(I1361:I1364)</f>
        <v>6.85</v>
      </c>
      <c r="J1365" s="1795"/>
    </row>
    <row r="1366" spans="1:10">
      <c r="A1366" s="1929"/>
      <c r="B1366" s="1930"/>
      <c r="C1366" s="1930"/>
      <c r="D1366" s="1930"/>
      <c r="E1366" s="1930"/>
      <c r="F1366" s="1930"/>
      <c r="G1366" s="1930"/>
      <c r="H1366" s="1930"/>
      <c r="I1366" s="1931"/>
      <c r="J1366" s="1795"/>
    </row>
    <row r="1367" spans="1:10" ht="24" customHeight="1">
      <c r="A1367" s="1784">
        <f>'PLANILHA SEM DESON'!B211</f>
        <v>91854</v>
      </c>
      <c r="B1367" s="1940" t="str">
        <f>VLOOKUP(A1367,'PLANILHA SEM DESON'!$B$17:$D$1700,2,FALSE)</f>
        <v>ELETRODUTO FLEXÍVEL CORRUGADO, PVC, DN 25 MM (3/4"), PARA CIRCUITOS TERMINAIS, INSTALADO EM PAREDE - FORNECIMENTO E INSTALAÇÃO. AF_12/2015</v>
      </c>
      <c r="C1367" s="1941"/>
      <c r="D1367" s="1941"/>
      <c r="E1367" s="1941"/>
      <c r="F1367" s="1941"/>
      <c r="G1367" s="1941"/>
      <c r="H1367" s="1942"/>
      <c r="I1367" s="1785" t="str">
        <f>VLOOKUP(A1367,'PLANILHA SEM DESON'!$B$17:$D$1700,3,FALSE)</f>
        <v>m</v>
      </c>
      <c r="J1367" s="1786">
        <f>I1372</f>
        <v>9.25</v>
      </c>
    </row>
    <row r="1368" spans="1:10" ht="24">
      <c r="A1368" s="1788" t="s">
        <v>2470</v>
      </c>
      <c r="B1368" s="1789" t="s">
        <v>2471</v>
      </c>
      <c r="C1368" s="1790" t="s">
        <v>2468</v>
      </c>
      <c r="D1368" s="1791" t="s">
        <v>308</v>
      </c>
      <c r="E1368" s="1790" t="s">
        <v>202</v>
      </c>
      <c r="F1368" s="1792" t="s">
        <v>2472</v>
      </c>
      <c r="G1368" s="1790" t="s">
        <v>2473</v>
      </c>
      <c r="H1368" s="1793" t="s">
        <v>2474</v>
      </c>
      <c r="I1368" s="1794" t="s">
        <v>2475</v>
      </c>
      <c r="J1368" s="1795"/>
    </row>
    <row r="1369" spans="1:10" ht="24">
      <c r="A1369" s="1797" t="s">
        <v>2476</v>
      </c>
      <c r="B1369" s="1798" t="s">
        <v>2479</v>
      </c>
      <c r="C1369" s="1798">
        <v>2688</v>
      </c>
      <c r="D1369" s="1799" t="s">
        <v>2717</v>
      </c>
      <c r="E1369" s="1800" t="s">
        <v>160</v>
      </c>
      <c r="F1369" s="1807">
        <v>1.0169999999999999</v>
      </c>
      <c r="G1369" s="1801">
        <v>2.54</v>
      </c>
      <c r="H1369" s="1802">
        <f>IF(E1369="H",G1369,TRUNC(G1369*(1-$K$7),2))</f>
        <v>2.52</v>
      </c>
      <c r="I1369" s="1803">
        <f t="shared" ref="I1369:I1371" si="189">TRUNC(H1369*F1369,2)</f>
        <v>2.56</v>
      </c>
      <c r="J1369" s="1795"/>
    </row>
    <row r="1370" spans="1:10" ht="24">
      <c r="A1370" s="1797" t="s">
        <v>2476</v>
      </c>
      <c r="B1370" s="1798" t="s">
        <v>7</v>
      </c>
      <c r="C1370" s="1798">
        <v>88247</v>
      </c>
      <c r="D1370" s="1799" t="s">
        <v>93</v>
      </c>
      <c r="E1370" s="1800" t="s">
        <v>411</v>
      </c>
      <c r="F1370" s="1807">
        <v>0.14399999999999999</v>
      </c>
      <c r="G1370" s="1801">
        <v>21</v>
      </c>
      <c r="H1370" s="1802">
        <f>IF(E1370="H",G1370,TRUNC(G1370*(1-$K$7),2))</f>
        <v>21</v>
      </c>
      <c r="I1370" s="1803">
        <f t="shared" si="189"/>
        <v>3.02</v>
      </c>
      <c r="J1370" s="1795"/>
    </row>
    <row r="1371" spans="1:10">
      <c r="A1371" s="1797" t="s">
        <v>2476</v>
      </c>
      <c r="B1371" s="1798" t="s">
        <v>7</v>
      </c>
      <c r="C1371" s="1798">
        <v>88264</v>
      </c>
      <c r="D1371" s="1799" t="s">
        <v>94</v>
      </c>
      <c r="E1371" s="1800" t="s">
        <v>411</v>
      </c>
      <c r="F1371" s="1807">
        <v>0.14399999999999999</v>
      </c>
      <c r="G1371" s="1801">
        <v>25.54</v>
      </c>
      <c r="H1371" s="1802">
        <f>IF(E1371="H",G1371,TRUNC(G1371*(1-$K$7),2))</f>
        <v>25.54</v>
      </c>
      <c r="I1371" s="1803">
        <f t="shared" si="189"/>
        <v>3.67</v>
      </c>
      <c r="J1371" s="1795"/>
    </row>
    <row r="1372" spans="1:10">
      <c r="A1372" s="1943" t="s">
        <v>2477</v>
      </c>
      <c r="B1372" s="1944"/>
      <c r="C1372" s="1944"/>
      <c r="D1372" s="1944"/>
      <c r="E1372" s="1944"/>
      <c r="F1372" s="1944"/>
      <c r="G1372" s="1944"/>
      <c r="H1372" s="1945"/>
      <c r="I1372" s="1805">
        <f>SUM(I1369:I1371)</f>
        <v>9.25</v>
      </c>
      <c r="J1372" s="1795"/>
    </row>
    <row r="1373" spans="1:10">
      <c r="A1373" s="1929"/>
      <c r="B1373" s="1930"/>
      <c r="C1373" s="1930"/>
      <c r="D1373" s="1930"/>
      <c r="E1373" s="1930"/>
      <c r="F1373" s="1930"/>
      <c r="G1373" s="1930"/>
      <c r="H1373" s="1930"/>
      <c r="I1373" s="1931"/>
      <c r="J1373" s="1795"/>
    </row>
    <row r="1374" spans="1:10" ht="25.5" customHeight="1">
      <c r="A1374" s="1784">
        <f>'PLANILHA SEM DESON'!B212</f>
        <v>97667</v>
      </c>
      <c r="B1374" s="1940" t="str">
        <f>VLOOKUP(A1374,'PLANILHA SEM DESON'!$B$17:$D$1700,2,FALSE)</f>
        <v>ELETRODUTO FLEXÍVEL CORRUGADO, PEAD, DN 50 (1 1/2"), PARA REDE ENTERRADA DE DISTRIBUIÇÃO DE ENERGIA ELÉTRICA - FORNECIMENTO E INSTALAÇÃO. AF_12/2021</v>
      </c>
      <c r="C1374" s="1941"/>
      <c r="D1374" s="1941"/>
      <c r="E1374" s="1941"/>
      <c r="F1374" s="1941"/>
      <c r="G1374" s="1941"/>
      <c r="H1374" s="1942"/>
      <c r="I1374" s="1785" t="str">
        <f>VLOOKUP(A1374,'PLANILHA SEM DESON'!$B$17:$D$1700,3,FALSE)</f>
        <v>m</v>
      </c>
      <c r="J1374" s="1786">
        <f>I1379</f>
        <v>9.43</v>
      </c>
    </row>
    <row r="1375" spans="1:10" ht="24">
      <c r="A1375" s="1788" t="s">
        <v>2470</v>
      </c>
      <c r="B1375" s="1789" t="s">
        <v>2471</v>
      </c>
      <c r="C1375" s="1790" t="s">
        <v>2468</v>
      </c>
      <c r="D1375" s="1791" t="s">
        <v>308</v>
      </c>
      <c r="E1375" s="1790" t="s">
        <v>202</v>
      </c>
      <c r="F1375" s="1792" t="s">
        <v>2472</v>
      </c>
      <c r="G1375" s="1790" t="s">
        <v>2473</v>
      </c>
      <c r="H1375" s="1793" t="s">
        <v>2474</v>
      </c>
      <c r="I1375" s="1794" t="s">
        <v>2475</v>
      </c>
      <c r="J1375" s="1795"/>
    </row>
    <row r="1376" spans="1:10" ht="36">
      <c r="A1376" s="1797" t="s">
        <v>2476</v>
      </c>
      <c r="B1376" s="1798" t="s">
        <v>2479</v>
      </c>
      <c r="C1376" s="1798">
        <v>39246</v>
      </c>
      <c r="D1376" s="1799" t="s">
        <v>2718</v>
      </c>
      <c r="E1376" s="1800" t="s">
        <v>160</v>
      </c>
      <c r="F1376" s="1807">
        <v>1.1000000000000001</v>
      </c>
      <c r="G1376" s="1801">
        <v>5.77</v>
      </c>
      <c r="H1376" s="1802">
        <f>IF(E1376="H",G1376,TRUNC(G1376*(1-$K$7),2))</f>
        <v>5.74</v>
      </c>
      <c r="I1376" s="1803">
        <f t="shared" ref="I1376:I1378" si="190">TRUNC(H1376*F1376,2)</f>
        <v>6.31</v>
      </c>
      <c r="J1376" s="1795"/>
    </row>
    <row r="1377" spans="1:10" ht="24">
      <c r="A1377" s="1797" t="s">
        <v>2476</v>
      </c>
      <c r="B1377" s="1798" t="s">
        <v>7</v>
      </c>
      <c r="C1377" s="1798">
        <v>88247</v>
      </c>
      <c r="D1377" s="1799" t="s">
        <v>93</v>
      </c>
      <c r="E1377" s="1800" t="s">
        <v>411</v>
      </c>
      <c r="F1377" s="1807">
        <v>6.7199999999999996E-2</v>
      </c>
      <c r="G1377" s="1801">
        <v>21</v>
      </c>
      <c r="H1377" s="1802">
        <f>IF(E1377="H",G1377,TRUNC(G1377*(1-$K$7),2))</f>
        <v>21</v>
      </c>
      <c r="I1377" s="1803">
        <f t="shared" si="190"/>
        <v>1.41</v>
      </c>
      <c r="J1377" s="1795"/>
    </row>
    <row r="1378" spans="1:10">
      <c r="A1378" s="1797" t="s">
        <v>2476</v>
      </c>
      <c r="B1378" s="1798" t="s">
        <v>7</v>
      </c>
      <c r="C1378" s="1798">
        <v>88264</v>
      </c>
      <c r="D1378" s="1799" t="s">
        <v>94</v>
      </c>
      <c r="E1378" s="1800" t="s">
        <v>411</v>
      </c>
      <c r="F1378" s="1807">
        <v>6.7199999999999996E-2</v>
      </c>
      <c r="G1378" s="1801">
        <v>25.54</v>
      </c>
      <c r="H1378" s="1802">
        <f>IF(E1378="H",G1378,TRUNC(G1378*(1-$K$7),2))</f>
        <v>25.54</v>
      </c>
      <c r="I1378" s="1803">
        <f t="shared" si="190"/>
        <v>1.71</v>
      </c>
      <c r="J1378" s="1795"/>
    </row>
    <row r="1379" spans="1:10">
      <c r="A1379" s="1943" t="s">
        <v>2477</v>
      </c>
      <c r="B1379" s="1944"/>
      <c r="C1379" s="1944"/>
      <c r="D1379" s="1944"/>
      <c r="E1379" s="1944"/>
      <c r="F1379" s="1944"/>
      <c r="G1379" s="1944"/>
      <c r="H1379" s="1945"/>
      <c r="I1379" s="1805">
        <f>SUM(I1376:I1378)</f>
        <v>9.43</v>
      </c>
      <c r="J1379" s="1795"/>
    </row>
    <row r="1380" spans="1:10">
      <c r="A1380" s="1929"/>
      <c r="B1380" s="1930"/>
      <c r="C1380" s="1930"/>
      <c r="D1380" s="1930"/>
      <c r="E1380" s="1930"/>
      <c r="F1380" s="1930"/>
      <c r="G1380" s="1930"/>
      <c r="H1380" s="1930"/>
      <c r="I1380" s="1931"/>
      <c r="J1380" s="1795"/>
    </row>
    <row r="1381" spans="1:10" ht="26.25" customHeight="1">
      <c r="A1381" s="1784" t="str">
        <f>'PLANILHA SEM DESON'!B213</f>
        <v>COMP ELE 28</v>
      </c>
      <c r="B1381" s="1940" t="str">
        <f>VLOOKUP(A1381,'PLANILHA SEM DESON'!$B$17:$D$1700,2,FALSE)</f>
        <v xml:space="preserve">LUMINÁRIA TIPO CALHA, DE EMBUTIR, COM 4 LÂMPADAS TUBULARES LED DE 20 W - FORNECIMENTO E INSTALAÇÃO. </v>
      </c>
      <c r="C1381" s="1941"/>
      <c r="D1381" s="1941"/>
      <c r="E1381" s="1941"/>
      <c r="F1381" s="1941"/>
      <c r="G1381" s="1941"/>
      <c r="H1381" s="1942"/>
      <c r="I1381" s="1785" t="str">
        <f>VLOOKUP(A1381,'PLANILHA SEM DESON'!$B$17:$D$1700,3,FALSE)</f>
        <v xml:space="preserve">un </v>
      </c>
      <c r="J1381" s="1786">
        <f>I1388</f>
        <v>345.35</v>
      </c>
    </row>
    <row r="1382" spans="1:10" ht="24">
      <c r="A1382" s="1788" t="s">
        <v>2470</v>
      </c>
      <c r="B1382" s="1789" t="s">
        <v>2471</v>
      </c>
      <c r="C1382" s="1790" t="s">
        <v>2468</v>
      </c>
      <c r="D1382" s="1791" t="s">
        <v>308</v>
      </c>
      <c r="E1382" s="1790" t="s">
        <v>202</v>
      </c>
      <c r="F1382" s="1792" t="s">
        <v>2472</v>
      </c>
      <c r="G1382" s="1790" t="s">
        <v>2473</v>
      </c>
      <c r="H1382" s="1793" t="s">
        <v>2474</v>
      </c>
      <c r="I1382" s="1794" t="s">
        <v>2475</v>
      </c>
      <c r="J1382" s="1795"/>
    </row>
    <row r="1383" spans="1:10">
      <c r="A1383" s="1797"/>
      <c r="B1383" s="1798"/>
      <c r="C1383" s="1798">
        <v>88264</v>
      </c>
      <c r="D1383" s="1799" t="s">
        <v>94</v>
      </c>
      <c r="E1383" s="1800" t="s">
        <v>57</v>
      </c>
      <c r="F1383" s="1811">
        <v>1.2</v>
      </c>
      <c r="G1383" s="1806">
        <v>25.54</v>
      </c>
      <c r="H1383" s="1802">
        <f>IF(E1383="H",G1383,TRUNC(G1383*(1-$K$7),2))</f>
        <v>25.54</v>
      </c>
      <c r="I1383" s="1803">
        <f t="shared" ref="I1383:I1387" si="191">TRUNC(H1383*F1383,2)</f>
        <v>30.64</v>
      </c>
      <c r="J1383" s="1795"/>
    </row>
    <row r="1384" spans="1:10" ht="24">
      <c r="A1384" s="1797"/>
      <c r="B1384" s="1798"/>
      <c r="C1384" s="1798">
        <v>88247</v>
      </c>
      <c r="D1384" s="1799" t="s">
        <v>93</v>
      </c>
      <c r="E1384" s="1800" t="s">
        <v>57</v>
      </c>
      <c r="F1384" s="1811">
        <v>1.2</v>
      </c>
      <c r="G1384" s="1806">
        <v>21</v>
      </c>
      <c r="H1384" s="1802">
        <f>IF(E1384="H",G1384,TRUNC(G1384*(1-$K$7),2))</f>
        <v>21</v>
      </c>
      <c r="I1384" s="1803">
        <f t="shared" si="191"/>
        <v>25.2</v>
      </c>
      <c r="J1384" s="1795"/>
    </row>
    <row r="1385" spans="1:10">
      <c r="A1385" s="1797"/>
      <c r="B1385" s="1798"/>
      <c r="C1385" s="1798">
        <v>39387</v>
      </c>
      <c r="D1385" s="1799" t="s">
        <v>538</v>
      </c>
      <c r="E1385" s="1800" t="s">
        <v>55</v>
      </c>
      <c r="F1385" s="1811">
        <v>4</v>
      </c>
      <c r="G1385" s="1806">
        <v>13.61</v>
      </c>
      <c r="H1385" s="1802">
        <f>IF(E1385="H",G1385,TRUNC(G1385*(1-$K$7),2))</f>
        <v>13.54</v>
      </c>
      <c r="I1385" s="1803">
        <f t="shared" si="191"/>
        <v>54.16</v>
      </c>
      <c r="J1385" s="1795"/>
    </row>
    <row r="1386" spans="1:10" ht="24">
      <c r="A1386" s="1797"/>
      <c r="B1386" s="1798"/>
      <c r="C1386" s="1798">
        <v>14543</v>
      </c>
      <c r="D1386" s="1799" t="s">
        <v>539</v>
      </c>
      <c r="E1386" s="1800" t="s">
        <v>55</v>
      </c>
      <c r="F1386" s="1811">
        <v>4</v>
      </c>
      <c r="G1386" s="1806">
        <v>7.51</v>
      </c>
      <c r="H1386" s="1802">
        <f>IF(E1386="H",G1386,TRUNC(G1386*(1-$K$7),2))</f>
        <v>7.47</v>
      </c>
      <c r="I1386" s="1803">
        <f t="shared" si="191"/>
        <v>29.88</v>
      </c>
      <c r="J1386" s="1795"/>
    </row>
    <row r="1387" spans="1:10" ht="24">
      <c r="A1387" s="1797"/>
      <c r="B1387" s="1798"/>
      <c r="C1387" s="1798" t="s">
        <v>65</v>
      </c>
      <c r="D1387" s="1799" t="s">
        <v>1618</v>
      </c>
      <c r="E1387" s="1800" t="s">
        <v>55</v>
      </c>
      <c r="F1387" s="1811">
        <v>1</v>
      </c>
      <c r="G1387" s="1806">
        <v>206.53</v>
      </c>
      <c r="H1387" s="1802">
        <f>IF(E1387="H",G1387,TRUNC(G1387*(1-$K$7),2))</f>
        <v>205.47</v>
      </c>
      <c r="I1387" s="1803">
        <f t="shared" si="191"/>
        <v>205.47</v>
      </c>
      <c r="J1387" s="1795"/>
    </row>
    <row r="1388" spans="1:10">
      <c r="A1388" s="1943" t="s">
        <v>2477</v>
      </c>
      <c r="B1388" s="1944"/>
      <c r="C1388" s="1944"/>
      <c r="D1388" s="1944"/>
      <c r="E1388" s="1944"/>
      <c r="F1388" s="1944"/>
      <c r="G1388" s="1944"/>
      <c r="H1388" s="1945"/>
      <c r="I1388" s="1805">
        <f>SUM(I1383:I1387)</f>
        <v>345.35</v>
      </c>
      <c r="J1388" s="1795"/>
    </row>
    <row r="1389" spans="1:10">
      <c r="A1389" s="1929"/>
      <c r="B1389" s="1930"/>
      <c r="C1389" s="1930"/>
      <c r="D1389" s="1930"/>
      <c r="E1389" s="1930"/>
      <c r="F1389" s="1930"/>
      <c r="G1389" s="1930"/>
      <c r="H1389" s="1930"/>
      <c r="I1389" s="1931"/>
      <c r="J1389" s="1795"/>
    </row>
    <row r="1390" spans="1:10" ht="24.75" customHeight="1">
      <c r="A1390" s="1784" t="str">
        <f>'PLANILHA SEM DESON'!B214</f>
        <v>COMP ELE 29</v>
      </c>
      <c r="B1390" s="1940" t="str">
        <f>VLOOKUP(A1390,'PLANILHA SEM DESON'!$B$17:$D$1700,2,FALSE)</f>
        <v>LUMINARIA LED REFLETOR RETANGULAR BIVOLT, LUZ BRANCA, 50 W - FORNECIMENTO E INSTALAÇÃO</v>
      </c>
      <c r="C1390" s="1941"/>
      <c r="D1390" s="1941"/>
      <c r="E1390" s="1941"/>
      <c r="F1390" s="1941"/>
      <c r="G1390" s="1941"/>
      <c r="H1390" s="1942"/>
      <c r="I1390" s="1785" t="str">
        <f>VLOOKUP(A1390,'PLANILHA SEM DESON'!$B$17:$D$1700,3,FALSE)</f>
        <v xml:space="preserve">un </v>
      </c>
      <c r="J1390" s="1786">
        <f>I1396</f>
        <v>61.7</v>
      </c>
    </row>
    <row r="1391" spans="1:10" ht="24">
      <c r="A1391" s="1788" t="s">
        <v>2470</v>
      </c>
      <c r="B1391" s="1789" t="s">
        <v>2471</v>
      </c>
      <c r="C1391" s="1790" t="s">
        <v>2468</v>
      </c>
      <c r="D1391" s="1791" t="s">
        <v>308</v>
      </c>
      <c r="E1391" s="1790" t="s">
        <v>202</v>
      </c>
      <c r="F1391" s="1792" t="s">
        <v>2472</v>
      </c>
      <c r="G1391" s="1790" t="s">
        <v>2473</v>
      </c>
      <c r="H1391" s="1793" t="s">
        <v>2474</v>
      </c>
      <c r="I1391" s="1794" t="s">
        <v>2475</v>
      </c>
      <c r="J1391" s="1795"/>
    </row>
    <row r="1392" spans="1:10">
      <c r="A1392" s="1797"/>
      <c r="B1392" s="1798"/>
      <c r="C1392" s="1798">
        <v>88264</v>
      </c>
      <c r="D1392" s="1799" t="s">
        <v>94</v>
      </c>
      <c r="E1392" s="1800" t="s">
        <v>57</v>
      </c>
      <c r="F1392" s="1811">
        <v>0.5</v>
      </c>
      <c r="G1392" s="1806">
        <v>25.54</v>
      </c>
      <c r="H1392" s="1802">
        <f>IF(E1392="H",G1392,TRUNC(G1392*(1-$K$7),2))</f>
        <v>25.54</v>
      </c>
      <c r="I1392" s="1803">
        <f t="shared" ref="I1392:I1395" si="192">TRUNC(H1392*F1392,2)</f>
        <v>12.77</v>
      </c>
      <c r="J1392" s="1795"/>
    </row>
    <row r="1393" spans="1:10" ht="24">
      <c r="A1393" s="1797"/>
      <c r="B1393" s="1798"/>
      <c r="C1393" s="1798">
        <v>88247</v>
      </c>
      <c r="D1393" s="1799" t="s">
        <v>93</v>
      </c>
      <c r="E1393" s="1800" t="s">
        <v>57</v>
      </c>
      <c r="F1393" s="1811">
        <v>0.3</v>
      </c>
      <c r="G1393" s="1806">
        <v>21</v>
      </c>
      <c r="H1393" s="1802">
        <f>IF(E1393="H",G1393,TRUNC(G1393*(1-$K$7),2))</f>
        <v>21</v>
      </c>
      <c r="I1393" s="1803">
        <f t="shared" si="192"/>
        <v>6.3</v>
      </c>
      <c r="J1393" s="1795"/>
    </row>
    <row r="1394" spans="1:10" ht="36">
      <c r="A1394" s="1797"/>
      <c r="B1394" s="1798"/>
      <c r="C1394" s="1798">
        <v>7568</v>
      </c>
      <c r="D1394" s="1799" t="s">
        <v>2370</v>
      </c>
      <c r="E1394" s="1800" t="s">
        <v>55</v>
      </c>
      <c r="F1394" s="1811">
        <v>2</v>
      </c>
      <c r="G1394" s="1806">
        <v>0.61</v>
      </c>
      <c r="H1394" s="1802">
        <f>IF(E1394="H",G1394,TRUNC(G1394*(1-$K$7),2))</f>
        <v>0.6</v>
      </c>
      <c r="I1394" s="1803">
        <f t="shared" si="192"/>
        <v>1.2</v>
      </c>
      <c r="J1394" s="1795"/>
    </row>
    <row r="1395" spans="1:10" ht="24">
      <c r="A1395" s="1797"/>
      <c r="B1395" s="1798"/>
      <c r="C1395" s="1798">
        <v>39391</v>
      </c>
      <c r="D1395" s="1799" t="s">
        <v>1633</v>
      </c>
      <c r="E1395" s="1800" t="s">
        <v>55</v>
      </c>
      <c r="F1395" s="1811">
        <v>1</v>
      </c>
      <c r="G1395" s="1806">
        <v>41.65</v>
      </c>
      <c r="H1395" s="1802">
        <f>IF(E1395="H",G1395,TRUNC(G1395*(1-$K$7),2))</f>
        <v>41.43</v>
      </c>
      <c r="I1395" s="1803">
        <f t="shared" si="192"/>
        <v>41.43</v>
      </c>
      <c r="J1395" s="1795"/>
    </row>
    <row r="1396" spans="1:10">
      <c r="A1396" s="1943" t="s">
        <v>2477</v>
      </c>
      <c r="B1396" s="1944"/>
      <c r="C1396" s="1944"/>
      <c r="D1396" s="1944"/>
      <c r="E1396" s="1944"/>
      <c r="F1396" s="1944"/>
      <c r="G1396" s="1944"/>
      <c r="H1396" s="1945"/>
      <c r="I1396" s="1805">
        <f>SUM(I1392:I1395)</f>
        <v>61.7</v>
      </c>
      <c r="J1396" s="1795"/>
    </row>
    <row r="1397" spans="1:10">
      <c r="A1397" s="1929"/>
      <c r="B1397" s="1930"/>
      <c r="C1397" s="1930"/>
      <c r="D1397" s="1930"/>
      <c r="E1397" s="1930"/>
      <c r="F1397" s="1930"/>
      <c r="G1397" s="1930"/>
      <c r="H1397" s="1930"/>
      <c r="I1397" s="1931"/>
      <c r="J1397" s="1795"/>
    </row>
    <row r="1398" spans="1:10" ht="24" customHeight="1">
      <c r="A1398" s="1784" t="str">
        <f>'PLANILHA SEM DESON'!B215</f>
        <v>COMP ELE 30</v>
      </c>
      <c r="B1398" s="1940" t="str">
        <f>VLOOKUP(A1398,'PLANILHA SEM DESON'!$B$17:$D$1700,2,FALSE)</f>
        <v>LUMINARIA LED REFLETOR RETANGULAR BIVOLT, LUZ BRANCA, 10 W - FORNECIMENTO E INSTALAÇÃO</v>
      </c>
      <c r="C1398" s="1941"/>
      <c r="D1398" s="1941"/>
      <c r="E1398" s="1941"/>
      <c r="F1398" s="1941"/>
      <c r="G1398" s="1941"/>
      <c r="H1398" s="1942"/>
      <c r="I1398" s="1785" t="str">
        <f>VLOOKUP(A1398,'PLANILHA SEM DESON'!$B$17:$D$1700,3,FALSE)</f>
        <v xml:space="preserve">un </v>
      </c>
      <c r="J1398" s="1786">
        <f>I1404</f>
        <v>37.870000000000005</v>
      </c>
    </row>
    <row r="1399" spans="1:10" ht="24">
      <c r="A1399" s="1788" t="s">
        <v>2470</v>
      </c>
      <c r="B1399" s="1789" t="s">
        <v>2471</v>
      </c>
      <c r="C1399" s="1790" t="s">
        <v>2468</v>
      </c>
      <c r="D1399" s="1791" t="s">
        <v>308</v>
      </c>
      <c r="E1399" s="1790" t="s">
        <v>202</v>
      </c>
      <c r="F1399" s="1792" t="s">
        <v>2472</v>
      </c>
      <c r="G1399" s="1790" t="s">
        <v>2473</v>
      </c>
      <c r="H1399" s="1793" t="s">
        <v>2474</v>
      </c>
      <c r="I1399" s="1794" t="s">
        <v>2475</v>
      </c>
      <c r="J1399" s="1795"/>
    </row>
    <row r="1400" spans="1:10">
      <c r="A1400" s="1797"/>
      <c r="B1400" s="1798"/>
      <c r="C1400" s="1798">
        <v>88264</v>
      </c>
      <c r="D1400" s="1799" t="s">
        <v>94</v>
      </c>
      <c r="E1400" s="1800" t="s">
        <v>57</v>
      </c>
      <c r="F1400" s="1811">
        <v>0.5</v>
      </c>
      <c r="G1400" s="1806">
        <v>25.54</v>
      </c>
      <c r="H1400" s="1802">
        <f>IF(E1400="H",G1400,TRUNC(G1400*(1-$K$7),2))</f>
        <v>25.54</v>
      </c>
      <c r="I1400" s="1803">
        <f t="shared" ref="I1400:I1403" si="193">TRUNC(H1400*F1400,2)</f>
        <v>12.77</v>
      </c>
      <c r="J1400" s="1795"/>
    </row>
    <row r="1401" spans="1:10" ht="24">
      <c r="A1401" s="1797"/>
      <c r="B1401" s="1798"/>
      <c r="C1401" s="1798">
        <v>88247</v>
      </c>
      <c r="D1401" s="1799" t="s">
        <v>93</v>
      </c>
      <c r="E1401" s="1800" t="s">
        <v>57</v>
      </c>
      <c r="F1401" s="1811">
        <v>0.3</v>
      </c>
      <c r="G1401" s="1806">
        <v>21</v>
      </c>
      <c r="H1401" s="1802">
        <f>IF(E1401="H",G1401,TRUNC(G1401*(1-$K$7),2))</f>
        <v>21</v>
      </c>
      <c r="I1401" s="1803">
        <f t="shared" si="193"/>
        <v>6.3</v>
      </c>
      <c r="J1401" s="1795"/>
    </row>
    <row r="1402" spans="1:10" ht="36">
      <c r="A1402" s="1797"/>
      <c r="B1402" s="1798"/>
      <c r="C1402" s="1798">
        <v>7568</v>
      </c>
      <c r="D1402" s="1799" t="s">
        <v>2370</v>
      </c>
      <c r="E1402" s="1800" t="s">
        <v>55</v>
      </c>
      <c r="F1402" s="1811">
        <v>2</v>
      </c>
      <c r="G1402" s="1806">
        <v>0.61</v>
      </c>
      <c r="H1402" s="1802">
        <f>IF(E1402="H",G1402,TRUNC(G1402*(1-$K$7),2))</f>
        <v>0.6</v>
      </c>
      <c r="I1402" s="1803">
        <f t="shared" si="193"/>
        <v>1.2</v>
      </c>
      <c r="J1402" s="1795"/>
    </row>
    <row r="1403" spans="1:10" ht="24">
      <c r="A1403" s="1797"/>
      <c r="B1403" s="1798"/>
      <c r="C1403" s="1798">
        <v>39389</v>
      </c>
      <c r="D1403" s="1799" t="s">
        <v>1623</v>
      </c>
      <c r="E1403" s="1800" t="s">
        <v>55</v>
      </c>
      <c r="F1403" s="1811">
        <v>1</v>
      </c>
      <c r="G1403" s="1806">
        <v>17.7</v>
      </c>
      <c r="H1403" s="1802">
        <f>IF(E1403="H",G1403,TRUNC(G1403*(1-$K$7),2))</f>
        <v>17.600000000000001</v>
      </c>
      <c r="I1403" s="1803">
        <f t="shared" si="193"/>
        <v>17.600000000000001</v>
      </c>
      <c r="J1403" s="1795"/>
    </row>
    <row r="1404" spans="1:10">
      <c r="A1404" s="1943" t="s">
        <v>2477</v>
      </c>
      <c r="B1404" s="1944"/>
      <c r="C1404" s="1944"/>
      <c r="D1404" s="1944"/>
      <c r="E1404" s="1944"/>
      <c r="F1404" s="1944"/>
      <c r="G1404" s="1944"/>
      <c r="H1404" s="1945"/>
      <c r="I1404" s="1805">
        <f>SUM(I1400:I1403)</f>
        <v>37.870000000000005</v>
      </c>
      <c r="J1404" s="1795"/>
    </row>
    <row r="1405" spans="1:10">
      <c r="A1405" s="1929"/>
      <c r="B1405" s="1930"/>
      <c r="C1405" s="1930"/>
      <c r="D1405" s="1930"/>
      <c r="E1405" s="1930"/>
      <c r="F1405" s="1930"/>
      <c r="G1405" s="1930"/>
      <c r="H1405" s="1930"/>
      <c r="I1405" s="1931"/>
      <c r="J1405" s="1795"/>
    </row>
    <row r="1406" spans="1:10" ht="25.5" customHeight="1">
      <c r="A1406" s="1784" t="str">
        <f>'PLANILHA SEM DESON'!B216</f>
        <v>COMP ELE 31</v>
      </c>
      <c r="B1406" s="1940" t="str">
        <f>VLOOKUP(A1406,'PLANILHA SEM DESON'!$B$17:$D$1700,2,FALSE)</f>
        <v>RELÉ FOTOELÉTRICO P/ COMANDO DE ILUMINAÇÃO EXTERNA 127V/1200W - FORNECIMENTO E INSTALAÇÃO</v>
      </c>
      <c r="C1406" s="1941"/>
      <c r="D1406" s="1941"/>
      <c r="E1406" s="1941"/>
      <c r="F1406" s="1941"/>
      <c r="G1406" s="1941"/>
      <c r="H1406" s="1942"/>
      <c r="I1406" s="1785" t="str">
        <f>VLOOKUP(A1406,'PLANILHA SEM DESON'!$B$17:$D$1700,3,FALSE)</f>
        <v xml:space="preserve">un </v>
      </c>
      <c r="J1406" s="1786">
        <f>I1413</f>
        <v>77.72</v>
      </c>
    </row>
    <row r="1407" spans="1:10" ht="24">
      <c r="A1407" s="1788" t="s">
        <v>2470</v>
      </c>
      <c r="B1407" s="1789" t="s">
        <v>2471</v>
      </c>
      <c r="C1407" s="1790" t="s">
        <v>2468</v>
      </c>
      <c r="D1407" s="1791" t="s">
        <v>308</v>
      </c>
      <c r="E1407" s="1790" t="s">
        <v>202</v>
      </c>
      <c r="F1407" s="1792" t="s">
        <v>2472</v>
      </c>
      <c r="G1407" s="1790" t="s">
        <v>2473</v>
      </c>
      <c r="H1407" s="1793" t="s">
        <v>2474</v>
      </c>
      <c r="I1407" s="1794" t="s">
        <v>2475</v>
      </c>
      <c r="J1407" s="1795"/>
    </row>
    <row r="1408" spans="1:10">
      <c r="A1408" s="1797"/>
      <c r="B1408" s="1798"/>
      <c r="C1408" s="1798">
        <v>88264</v>
      </c>
      <c r="D1408" s="1799" t="s">
        <v>94</v>
      </c>
      <c r="E1408" s="1800" t="s">
        <v>57</v>
      </c>
      <c r="F1408" s="1811">
        <v>0.5</v>
      </c>
      <c r="G1408" s="1806">
        <v>25.54</v>
      </c>
      <c r="H1408" s="1802">
        <f>IF(E1408="H",G1408,TRUNC(G1408*(1-$K$7),2))</f>
        <v>25.54</v>
      </c>
      <c r="I1408" s="1803">
        <f t="shared" ref="I1408:I1412" si="194">TRUNC(H1408*F1408,2)</f>
        <v>12.77</v>
      </c>
      <c r="J1408" s="1795"/>
    </row>
    <row r="1409" spans="1:10" ht="24">
      <c r="A1409" s="1797"/>
      <c r="B1409" s="1798"/>
      <c r="C1409" s="1798">
        <v>88247</v>
      </c>
      <c r="D1409" s="1799" t="s">
        <v>93</v>
      </c>
      <c r="E1409" s="1800" t="s">
        <v>57</v>
      </c>
      <c r="F1409" s="1811">
        <v>0.3</v>
      </c>
      <c r="G1409" s="1806">
        <v>21</v>
      </c>
      <c r="H1409" s="1802">
        <f>IF(E1409="H",G1409,TRUNC(G1409*(1-$K$7),2))</f>
        <v>21</v>
      </c>
      <c r="I1409" s="1803">
        <f t="shared" si="194"/>
        <v>6.3</v>
      </c>
      <c r="J1409" s="1795"/>
    </row>
    <row r="1410" spans="1:10" ht="24">
      <c r="A1410" s="1797"/>
      <c r="B1410" s="1798"/>
      <c r="C1410" s="1798">
        <v>21127</v>
      </c>
      <c r="D1410" s="1799" t="s">
        <v>1629</v>
      </c>
      <c r="E1410" s="1800" t="s">
        <v>55</v>
      </c>
      <c r="F1410" s="1811">
        <v>2.1000000000000001E-2</v>
      </c>
      <c r="G1410" s="1806">
        <v>4.0599999999999996</v>
      </c>
      <c r="H1410" s="1802">
        <f>IF(E1410="H",G1410,TRUNC(G1410*(1-$K$7),2))</f>
        <v>4.03</v>
      </c>
      <c r="I1410" s="1803">
        <f t="shared" si="194"/>
        <v>0.08</v>
      </c>
      <c r="J1410" s="1795"/>
    </row>
    <row r="1411" spans="1:10">
      <c r="A1411" s="1797"/>
      <c r="B1411" s="1798"/>
      <c r="C1411" s="1798">
        <v>39380</v>
      </c>
      <c r="D1411" s="1799" t="s">
        <v>1630</v>
      </c>
      <c r="E1411" s="1800" t="s">
        <v>55</v>
      </c>
      <c r="F1411" s="1811">
        <v>1</v>
      </c>
      <c r="G1411" s="1806">
        <v>20.65</v>
      </c>
      <c r="H1411" s="1802">
        <f>IF(E1411="H",G1411,TRUNC(G1411*(1-$K$7),2))</f>
        <v>20.54</v>
      </c>
      <c r="I1411" s="1803">
        <f t="shared" si="194"/>
        <v>20.54</v>
      </c>
      <c r="J1411" s="1795"/>
    </row>
    <row r="1412" spans="1:10" ht="24">
      <c r="A1412" s="1797"/>
      <c r="B1412" s="1798"/>
      <c r="C1412" s="1798" t="s">
        <v>65</v>
      </c>
      <c r="D1412" s="1799" t="s">
        <v>1624</v>
      </c>
      <c r="E1412" s="1800" t="s">
        <v>55</v>
      </c>
      <c r="F1412" s="1811">
        <v>1</v>
      </c>
      <c r="G1412" s="1806">
        <v>38.229999999999997</v>
      </c>
      <c r="H1412" s="1802">
        <f>IF(E1412="H",G1412,TRUNC(G1412*(1-$K$7),2))</f>
        <v>38.03</v>
      </c>
      <c r="I1412" s="1803">
        <f t="shared" si="194"/>
        <v>38.03</v>
      </c>
      <c r="J1412" s="1795"/>
    </row>
    <row r="1413" spans="1:10">
      <c r="A1413" s="1943" t="s">
        <v>2477</v>
      </c>
      <c r="B1413" s="1944"/>
      <c r="C1413" s="1944"/>
      <c r="D1413" s="1944"/>
      <c r="E1413" s="1944"/>
      <c r="F1413" s="1944"/>
      <c r="G1413" s="1944"/>
      <c r="H1413" s="1945"/>
      <c r="I1413" s="1805">
        <f>SUM(I1408:I1412)</f>
        <v>77.72</v>
      </c>
      <c r="J1413" s="1795"/>
    </row>
    <row r="1414" spans="1:10">
      <c r="A1414" s="1929"/>
      <c r="B1414" s="1930"/>
      <c r="C1414" s="1930"/>
      <c r="D1414" s="1930"/>
      <c r="E1414" s="1930"/>
      <c r="F1414" s="1930"/>
      <c r="G1414" s="1930"/>
      <c r="H1414" s="1930"/>
      <c r="I1414" s="1931"/>
      <c r="J1414" s="1795"/>
    </row>
    <row r="1415" spans="1:10" ht="24.75" customHeight="1">
      <c r="A1415" s="1784" t="str">
        <f>'PLANILHA SEM DESON'!B217</f>
        <v>COMP ELE 32</v>
      </c>
      <c r="B1415" s="1940" t="str">
        <f>VLOOKUP(A1415,'PLANILHA SEM DESON'!$B$17:$D$1700,2,FALSE)</f>
        <v>TAMPA CEGA EM PVC PARA CONDULETE 4 X 2"</v>
      </c>
      <c r="C1415" s="1941"/>
      <c r="D1415" s="1941"/>
      <c r="E1415" s="1941"/>
      <c r="F1415" s="1941"/>
      <c r="G1415" s="1941"/>
      <c r="H1415" s="1942"/>
      <c r="I1415" s="1785" t="str">
        <f>VLOOKUP(A1415,'PLANILHA SEM DESON'!$B$17:$D$1700,3,FALSE)</f>
        <v xml:space="preserve">un </v>
      </c>
      <c r="J1415" s="1786">
        <f>I1420</f>
        <v>6.93</v>
      </c>
    </row>
    <row r="1416" spans="1:10" ht="24">
      <c r="A1416" s="1788" t="s">
        <v>2470</v>
      </c>
      <c r="B1416" s="1789" t="s">
        <v>2471</v>
      </c>
      <c r="C1416" s="1790" t="s">
        <v>2468</v>
      </c>
      <c r="D1416" s="1791" t="s">
        <v>308</v>
      </c>
      <c r="E1416" s="1790" t="s">
        <v>202</v>
      </c>
      <c r="F1416" s="1792" t="s">
        <v>2472</v>
      </c>
      <c r="G1416" s="1790" t="s">
        <v>2473</v>
      </c>
      <c r="H1416" s="1793" t="s">
        <v>2474</v>
      </c>
      <c r="I1416" s="1794" t="s">
        <v>2475</v>
      </c>
      <c r="J1416" s="1795"/>
    </row>
    <row r="1417" spans="1:10">
      <c r="A1417" s="1797"/>
      <c r="B1417" s="1798"/>
      <c r="C1417" s="1798">
        <v>88264</v>
      </c>
      <c r="D1417" s="1799" t="s">
        <v>94</v>
      </c>
      <c r="E1417" s="1800" t="s">
        <v>57</v>
      </c>
      <c r="F1417" s="1811">
        <v>0.03</v>
      </c>
      <c r="G1417" s="1806">
        <v>25.54</v>
      </c>
      <c r="H1417" s="1802">
        <f>IF(E1417="H",G1417,TRUNC(G1417*(1-$K$7),2))</f>
        <v>25.54</v>
      </c>
      <c r="I1417" s="1803">
        <f t="shared" ref="I1417:I1419" si="195">TRUNC(H1417*F1417,2)</f>
        <v>0.76</v>
      </c>
      <c r="J1417" s="1795"/>
    </row>
    <row r="1418" spans="1:10" ht="24">
      <c r="A1418" s="1797"/>
      <c r="B1418" s="1798"/>
      <c r="C1418" s="1798">
        <v>88247</v>
      </c>
      <c r="D1418" s="1799" t="s">
        <v>93</v>
      </c>
      <c r="E1418" s="1800" t="s">
        <v>57</v>
      </c>
      <c r="F1418" s="1811">
        <v>0.03</v>
      </c>
      <c r="G1418" s="1806">
        <v>21</v>
      </c>
      <c r="H1418" s="1802">
        <f>IF(E1418="H",G1418,TRUNC(G1418*(1-$K$7),2))</f>
        <v>21</v>
      </c>
      <c r="I1418" s="1803">
        <f t="shared" si="195"/>
        <v>0.63</v>
      </c>
      <c r="J1418" s="1795"/>
    </row>
    <row r="1419" spans="1:10">
      <c r="A1419" s="1797"/>
      <c r="B1419" s="1798"/>
      <c r="C1419" s="1798">
        <v>7543</v>
      </c>
      <c r="D1419" s="1799" t="s">
        <v>1632</v>
      </c>
      <c r="E1419" s="1800" t="s">
        <v>55</v>
      </c>
      <c r="F1419" s="1811">
        <v>1</v>
      </c>
      <c r="G1419" s="1806">
        <v>5.57</v>
      </c>
      <c r="H1419" s="1802">
        <f>IF(E1419="H",G1419,TRUNC(G1419*(1-$K$7),2))</f>
        <v>5.54</v>
      </c>
      <c r="I1419" s="1803">
        <f t="shared" si="195"/>
        <v>5.54</v>
      </c>
      <c r="J1419" s="1795"/>
    </row>
    <row r="1420" spans="1:10">
      <c r="A1420" s="1943" t="s">
        <v>2477</v>
      </c>
      <c r="B1420" s="1944"/>
      <c r="C1420" s="1944"/>
      <c r="D1420" s="1944"/>
      <c r="E1420" s="1944"/>
      <c r="F1420" s="1944"/>
      <c r="G1420" s="1944"/>
      <c r="H1420" s="1945"/>
      <c r="I1420" s="1805">
        <f>SUM(I1417:I1419)</f>
        <v>6.93</v>
      </c>
      <c r="J1420" s="1795"/>
    </row>
    <row r="1421" spans="1:10">
      <c r="A1421" s="1929"/>
      <c r="B1421" s="1930"/>
      <c r="C1421" s="1930"/>
      <c r="D1421" s="1930"/>
      <c r="E1421" s="1930"/>
      <c r="F1421" s="1930"/>
      <c r="G1421" s="1930"/>
      <c r="H1421" s="1930"/>
      <c r="I1421" s="1931"/>
      <c r="J1421" s="1795"/>
    </row>
    <row r="1422" spans="1:10">
      <c r="A1422" s="1784">
        <f>'PLANILHA SEM DESON'!B218</f>
        <v>90447</v>
      </c>
      <c r="B1422" s="1940" t="str">
        <f>VLOOKUP(A1422,'PLANILHA SEM DESON'!$B$17:$D$1700,2,FALSE)</f>
        <v>RASGO EM ALVENARIA PARA ELETRODUTOS COM DIAMETROS MENORES OU IGUAIS A 40 MM. AF_05/2015</v>
      </c>
      <c r="C1422" s="1941"/>
      <c r="D1422" s="1941"/>
      <c r="E1422" s="1941"/>
      <c r="F1422" s="1941"/>
      <c r="G1422" s="1941"/>
      <c r="H1422" s="1942"/>
      <c r="I1422" s="1785" t="str">
        <f>VLOOKUP(A1422,'PLANILHA SEM DESON'!$B$17:$D$1700,3,FALSE)</f>
        <v>m</v>
      </c>
      <c r="J1422" s="1786">
        <f>I1426</f>
        <v>6.22</v>
      </c>
    </row>
    <row r="1423" spans="1:10" ht="24">
      <c r="A1423" s="1788" t="s">
        <v>2470</v>
      </c>
      <c r="B1423" s="1789" t="s">
        <v>2471</v>
      </c>
      <c r="C1423" s="1790" t="s">
        <v>2468</v>
      </c>
      <c r="D1423" s="1791" t="s">
        <v>308</v>
      </c>
      <c r="E1423" s="1790" t="s">
        <v>202</v>
      </c>
      <c r="F1423" s="1792" t="s">
        <v>2472</v>
      </c>
      <c r="G1423" s="1790" t="s">
        <v>2473</v>
      </c>
      <c r="H1423" s="1793" t="s">
        <v>2474</v>
      </c>
      <c r="I1423" s="1794" t="s">
        <v>2475</v>
      </c>
      <c r="J1423" s="1795"/>
    </row>
    <row r="1424" spans="1:10" ht="24">
      <c r="A1424" s="1797" t="s">
        <v>2476</v>
      </c>
      <c r="B1424" s="1798" t="s">
        <v>7</v>
      </c>
      <c r="C1424" s="1798">
        <v>88247</v>
      </c>
      <c r="D1424" s="1799" t="s">
        <v>93</v>
      </c>
      <c r="E1424" s="1800" t="s">
        <v>411</v>
      </c>
      <c r="F1424" s="1807">
        <v>3.4000000000000002E-2</v>
      </c>
      <c r="G1424" s="1801">
        <v>21</v>
      </c>
      <c r="H1424" s="1802">
        <f>IF(E1424="H",G1424,TRUNC(G1424*(1-$K$7),2))</f>
        <v>21</v>
      </c>
      <c r="I1424" s="1803">
        <f t="shared" ref="I1424:I1425" si="196">TRUNC(H1424*F1424,2)</f>
        <v>0.71</v>
      </c>
      <c r="J1424" s="1795"/>
    </row>
    <row r="1425" spans="1:10">
      <c r="A1425" s="1797" t="s">
        <v>2476</v>
      </c>
      <c r="B1425" s="1798" t="s">
        <v>7</v>
      </c>
      <c r="C1425" s="1798">
        <v>88264</v>
      </c>
      <c r="D1425" s="1799" t="s">
        <v>94</v>
      </c>
      <c r="E1425" s="1800" t="s">
        <v>411</v>
      </c>
      <c r="F1425" s="1807">
        <v>0.216</v>
      </c>
      <c r="G1425" s="1801">
        <v>25.54</v>
      </c>
      <c r="H1425" s="1802">
        <f>IF(E1425="H",G1425,TRUNC(G1425*(1-$K$7),2))</f>
        <v>25.54</v>
      </c>
      <c r="I1425" s="1803">
        <f t="shared" si="196"/>
        <v>5.51</v>
      </c>
      <c r="J1425" s="1795"/>
    </row>
    <row r="1426" spans="1:10">
      <c r="A1426" s="1943" t="s">
        <v>2477</v>
      </c>
      <c r="B1426" s="1944"/>
      <c r="C1426" s="1944"/>
      <c r="D1426" s="1944"/>
      <c r="E1426" s="1944"/>
      <c r="F1426" s="1944"/>
      <c r="G1426" s="1944"/>
      <c r="H1426" s="1945"/>
      <c r="I1426" s="1805">
        <f>SUM(I1424:I1425)</f>
        <v>6.22</v>
      </c>
      <c r="J1426" s="1795"/>
    </row>
    <row r="1427" spans="1:10">
      <c r="A1427" s="1929"/>
      <c r="B1427" s="1930"/>
      <c r="C1427" s="1930"/>
      <c r="D1427" s="1930"/>
      <c r="E1427" s="1930"/>
      <c r="F1427" s="1930"/>
      <c r="G1427" s="1930"/>
      <c r="H1427" s="1930"/>
      <c r="I1427" s="1931"/>
      <c r="J1427" s="1795"/>
    </row>
    <row r="1428" spans="1:10" ht="24" customHeight="1">
      <c r="A1428" s="1784" t="str">
        <f>'PLANILHA SEM DESON'!B221</f>
        <v>COMP ELE 01</v>
      </c>
      <c r="B1428" s="1940" t="str">
        <f>VLOOKUP(A1428,'PLANILHA SEM DESON'!$B$17:$D$1700,2,FALSE)</f>
        <v>CONECTOR FEMEA RJ - 45, CATEGORIA 6</v>
      </c>
      <c r="C1428" s="1941"/>
      <c r="D1428" s="1941"/>
      <c r="E1428" s="1941"/>
      <c r="F1428" s="1941"/>
      <c r="G1428" s="1941"/>
      <c r="H1428" s="1942"/>
      <c r="I1428" s="1785" t="str">
        <f>VLOOKUP(A1428,'PLANILHA SEM DESON'!$B$17:$D$1700,3,FALSE)</f>
        <v xml:space="preserve">un </v>
      </c>
      <c r="J1428" s="1786">
        <f>I1433</f>
        <v>35.08</v>
      </c>
    </row>
    <row r="1429" spans="1:10" ht="24">
      <c r="A1429" s="1788" t="s">
        <v>2470</v>
      </c>
      <c r="B1429" s="1789" t="s">
        <v>2471</v>
      </c>
      <c r="C1429" s="1790" t="s">
        <v>2468</v>
      </c>
      <c r="D1429" s="1791" t="s">
        <v>308</v>
      </c>
      <c r="E1429" s="1790" t="s">
        <v>202</v>
      </c>
      <c r="F1429" s="1792" t="s">
        <v>2472</v>
      </c>
      <c r="G1429" s="1790" t="s">
        <v>2473</v>
      </c>
      <c r="H1429" s="1793" t="s">
        <v>2474</v>
      </c>
      <c r="I1429" s="1794" t="s">
        <v>2475</v>
      </c>
      <c r="J1429" s="1795"/>
    </row>
    <row r="1430" spans="1:10">
      <c r="A1430" s="1797"/>
      <c r="B1430" s="1798"/>
      <c r="C1430" s="1798">
        <v>88264</v>
      </c>
      <c r="D1430" s="1799" t="s">
        <v>94</v>
      </c>
      <c r="E1430" s="1800" t="s">
        <v>57</v>
      </c>
      <c r="F1430" s="1811">
        <v>0.15</v>
      </c>
      <c r="G1430" s="1806">
        <v>25.54</v>
      </c>
      <c r="H1430" s="1802">
        <f>IF(E1430="H",G1430,TRUNC(G1430*(1-$K$7),2))</f>
        <v>25.54</v>
      </c>
      <c r="I1430" s="1803">
        <f t="shared" ref="I1430:I1432" si="197">TRUNC(H1430*F1430,2)</f>
        <v>3.83</v>
      </c>
      <c r="J1430" s="1795"/>
    </row>
    <row r="1431" spans="1:10" ht="24">
      <c r="A1431" s="1797"/>
      <c r="B1431" s="1798"/>
      <c r="C1431" s="1798">
        <v>88247</v>
      </c>
      <c r="D1431" s="1799" t="s">
        <v>93</v>
      </c>
      <c r="E1431" s="1800" t="s">
        <v>57</v>
      </c>
      <c r="F1431" s="1811">
        <v>0.15</v>
      </c>
      <c r="G1431" s="1806">
        <v>21</v>
      </c>
      <c r="H1431" s="1802">
        <f>IF(E1431="H",G1431,TRUNC(G1431*(1-$K$7),2))</f>
        <v>21</v>
      </c>
      <c r="I1431" s="1803">
        <f t="shared" si="197"/>
        <v>3.15</v>
      </c>
      <c r="J1431" s="1795"/>
    </row>
    <row r="1432" spans="1:10" ht="24">
      <c r="A1432" s="1797"/>
      <c r="B1432" s="1798"/>
      <c r="C1432" s="1798">
        <v>39601</v>
      </c>
      <c r="D1432" s="1799" t="s">
        <v>2421</v>
      </c>
      <c r="E1432" s="1800" t="s">
        <v>55</v>
      </c>
      <c r="F1432" s="1811">
        <v>1</v>
      </c>
      <c r="G1432" s="1806">
        <v>28.25</v>
      </c>
      <c r="H1432" s="1802">
        <f>IF(E1432="H",G1432,TRUNC(G1432*(1-$K$7),2))</f>
        <v>28.1</v>
      </c>
      <c r="I1432" s="1803">
        <f t="shared" si="197"/>
        <v>28.1</v>
      </c>
      <c r="J1432" s="1795"/>
    </row>
    <row r="1433" spans="1:10">
      <c r="A1433" s="1943" t="s">
        <v>2477</v>
      </c>
      <c r="B1433" s="1944"/>
      <c r="C1433" s="1944"/>
      <c r="D1433" s="1944"/>
      <c r="E1433" s="1944"/>
      <c r="F1433" s="1944"/>
      <c r="G1433" s="1944"/>
      <c r="H1433" s="1945"/>
      <c r="I1433" s="1805">
        <f>SUM(I1430:I1432)</f>
        <v>35.08</v>
      </c>
      <c r="J1433" s="1795"/>
    </row>
    <row r="1434" spans="1:10">
      <c r="A1434" s="1929"/>
      <c r="B1434" s="1930"/>
      <c r="C1434" s="1930"/>
      <c r="D1434" s="1930"/>
      <c r="E1434" s="1930"/>
      <c r="F1434" s="1930"/>
      <c r="G1434" s="1930"/>
      <c r="H1434" s="1930"/>
      <c r="I1434" s="1931"/>
      <c r="J1434" s="1795"/>
    </row>
    <row r="1435" spans="1:10">
      <c r="A1435" s="1784">
        <f>'PLANILHA SEM DESON'!B222</f>
        <v>98302</v>
      </c>
      <c r="B1435" s="1940" t="str">
        <f>VLOOKUP(A1435,'PLANILHA SEM DESON'!$B$17:$D$1700,2,FALSE)</f>
        <v>PATCH PANEL 24 PORTAS, CATEGORIA 6 - FORNECIMENTO E INSTALAÇÃO. AF_11/2019</v>
      </c>
      <c r="C1435" s="1941"/>
      <c r="D1435" s="1941"/>
      <c r="E1435" s="1941"/>
      <c r="F1435" s="1941"/>
      <c r="G1435" s="1941"/>
      <c r="H1435" s="1942"/>
      <c r="I1435" s="1785" t="str">
        <f>VLOOKUP(A1435,'PLANILHA SEM DESON'!$B$17:$D$1700,3,FALSE)</f>
        <v xml:space="preserve">un </v>
      </c>
      <c r="J1435" s="1786">
        <f>I1440</f>
        <v>999.86</v>
      </c>
    </row>
    <row r="1436" spans="1:10" ht="24">
      <c r="A1436" s="1788" t="s">
        <v>2470</v>
      </c>
      <c r="B1436" s="1789" t="s">
        <v>2471</v>
      </c>
      <c r="C1436" s="1790" t="s">
        <v>2468</v>
      </c>
      <c r="D1436" s="1791" t="s">
        <v>308</v>
      </c>
      <c r="E1436" s="1790" t="s">
        <v>202</v>
      </c>
      <c r="F1436" s="1792" t="s">
        <v>2472</v>
      </c>
      <c r="G1436" s="1790" t="s">
        <v>2473</v>
      </c>
      <c r="H1436" s="1793" t="s">
        <v>2474</v>
      </c>
      <c r="I1436" s="1794" t="s">
        <v>2475</v>
      </c>
      <c r="J1436" s="1795"/>
    </row>
    <row r="1437" spans="1:10" ht="24">
      <c r="A1437" s="1797"/>
      <c r="B1437" s="1798" t="s">
        <v>2479</v>
      </c>
      <c r="C1437" s="1798">
        <v>39596</v>
      </c>
      <c r="D1437" s="1799" t="s">
        <v>2719</v>
      </c>
      <c r="E1437" s="1800" t="s">
        <v>2501</v>
      </c>
      <c r="F1437" s="1807">
        <v>1</v>
      </c>
      <c r="G1437" s="1801">
        <v>714.94</v>
      </c>
      <c r="H1437" s="1802">
        <f>IF(E1437="H",G1437,TRUNC(G1437*(1-$K$7),2))</f>
        <v>711.29</v>
      </c>
      <c r="I1437" s="1803">
        <f t="shared" ref="I1437:I1439" si="198">TRUNC(H1437*F1437,2)</f>
        <v>711.29</v>
      </c>
      <c r="J1437" s="1795"/>
    </row>
    <row r="1438" spans="1:10" ht="24">
      <c r="A1438" s="1797"/>
      <c r="B1438" s="1798" t="s">
        <v>7</v>
      </c>
      <c r="C1438" s="1798">
        <v>88247</v>
      </c>
      <c r="D1438" s="1799" t="s">
        <v>93</v>
      </c>
      <c r="E1438" s="1800" t="s">
        <v>411</v>
      </c>
      <c r="F1438" s="1807">
        <v>6.2007000000000003</v>
      </c>
      <c r="G1438" s="1801">
        <v>21</v>
      </c>
      <c r="H1438" s="1802">
        <f>IF(E1438="H",G1438,TRUNC(G1438*(1-$K$7),2))</f>
        <v>21</v>
      </c>
      <c r="I1438" s="1803">
        <f t="shared" si="198"/>
        <v>130.21</v>
      </c>
      <c r="J1438" s="1795"/>
    </row>
    <row r="1439" spans="1:10">
      <c r="A1439" s="1797"/>
      <c r="B1439" s="1798" t="s">
        <v>7</v>
      </c>
      <c r="C1439" s="1798">
        <v>88264</v>
      </c>
      <c r="D1439" s="1799" t="s">
        <v>94</v>
      </c>
      <c r="E1439" s="1800" t="s">
        <v>411</v>
      </c>
      <c r="F1439" s="1807">
        <v>6.2007000000000003</v>
      </c>
      <c r="G1439" s="1801">
        <v>25.54</v>
      </c>
      <c r="H1439" s="1802">
        <f>IF(E1439="H",G1439,TRUNC(G1439*(1-$K$7),2))</f>
        <v>25.54</v>
      </c>
      <c r="I1439" s="1803">
        <f t="shared" si="198"/>
        <v>158.36000000000001</v>
      </c>
      <c r="J1439" s="1795"/>
    </row>
    <row r="1440" spans="1:10">
      <c r="A1440" s="1943" t="s">
        <v>2477</v>
      </c>
      <c r="B1440" s="1944"/>
      <c r="C1440" s="1944"/>
      <c r="D1440" s="1944"/>
      <c r="E1440" s="1944"/>
      <c r="F1440" s="1944"/>
      <c r="G1440" s="1944"/>
      <c r="H1440" s="1945"/>
      <c r="I1440" s="1805">
        <f>SUM(I1437:I1439)</f>
        <v>999.86</v>
      </c>
      <c r="J1440" s="1795"/>
    </row>
    <row r="1441" spans="1:10">
      <c r="A1441" s="1929"/>
      <c r="B1441" s="1930"/>
      <c r="C1441" s="1930"/>
      <c r="D1441" s="1930"/>
      <c r="E1441" s="1930"/>
      <c r="F1441" s="1930"/>
      <c r="G1441" s="1930"/>
      <c r="H1441" s="1930"/>
      <c r="I1441" s="1931"/>
      <c r="J1441" s="1795"/>
    </row>
    <row r="1442" spans="1:10" ht="24.75" customHeight="1">
      <c r="A1442" s="1784" t="str">
        <f>'PLANILHA SEM DESON'!B223</f>
        <v>COMP ELE 04</v>
      </c>
      <c r="B1442" s="1940" t="str">
        <f>VLOOKUP(A1442,'PLANILHA SEM DESON'!$B$17:$D$1700,2,FALSE)</f>
        <v>GUIA DE CABOS SIMPLES PARA RACK ABERTO 19"</v>
      </c>
      <c r="C1442" s="1941"/>
      <c r="D1442" s="1941"/>
      <c r="E1442" s="1941"/>
      <c r="F1442" s="1941"/>
      <c r="G1442" s="1941"/>
      <c r="H1442" s="1942"/>
      <c r="I1442" s="1785" t="str">
        <f>VLOOKUP(A1442,'PLANILHA SEM DESON'!$B$17:$D$1700,3,FALSE)</f>
        <v xml:space="preserve">un </v>
      </c>
      <c r="J1442" s="1786">
        <f>I1446</f>
        <v>57.660000000000004</v>
      </c>
    </row>
    <row r="1443" spans="1:10" ht="24">
      <c r="A1443" s="1788" t="s">
        <v>2470</v>
      </c>
      <c r="B1443" s="1789" t="s">
        <v>2471</v>
      </c>
      <c r="C1443" s="1790" t="s">
        <v>2468</v>
      </c>
      <c r="D1443" s="1791" t="s">
        <v>308</v>
      </c>
      <c r="E1443" s="1790" t="s">
        <v>202</v>
      </c>
      <c r="F1443" s="1792" t="s">
        <v>2472</v>
      </c>
      <c r="G1443" s="1790" t="s">
        <v>2473</v>
      </c>
      <c r="H1443" s="1793" t="s">
        <v>2474</v>
      </c>
      <c r="I1443" s="1794" t="s">
        <v>2475</v>
      </c>
      <c r="J1443" s="1795"/>
    </row>
    <row r="1444" spans="1:10">
      <c r="A1444" s="1797"/>
      <c r="B1444" s="1798"/>
      <c r="C1444" s="1798">
        <v>88264</v>
      </c>
      <c r="D1444" s="1799" t="s">
        <v>94</v>
      </c>
      <c r="E1444" s="1800" t="s">
        <v>57</v>
      </c>
      <c r="F1444" s="1811">
        <v>0.2</v>
      </c>
      <c r="G1444" s="1806">
        <v>25.54</v>
      </c>
      <c r="H1444" s="1802">
        <f>IF(E1444="H",G1444,TRUNC(G1444*(1-$K$7),2))</f>
        <v>25.54</v>
      </c>
      <c r="I1444" s="1803">
        <f t="shared" ref="I1444:I1445" si="199">TRUNC(H1444*F1444,2)</f>
        <v>5.0999999999999996</v>
      </c>
      <c r="J1444" s="1795"/>
    </row>
    <row r="1445" spans="1:10">
      <c r="A1445" s="1797"/>
      <c r="B1445" s="1798"/>
      <c r="C1445" s="1798" t="s">
        <v>65</v>
      </c>
      <c r="D1445" s="1799" t="s">
        <v>1531</v>
      </c>
      <c r="E1445" s="1800" t="s">
        <v>55</v>
      </c>
      <c r="F1445" s="1811">
        <v>1</v>
      </c>
      <c r="G1445" s="1806">
        <v>52.83</v>
      </c>
      <c r="H1445" s="1802">
        <f>IF(E1445="H",G1445,TRUNC(G1445*(1-$K$7),2))</f>
        <v>52.56</v>
      </c>
      <c r="I1445" s="1803">
        <f t="shared" si="199"/>
        <v>52.56</v>
      </c>
      <c r="J1445" s="1795"/>
    </row>
    <row r="1446" spans="1:10">
      <c r="A1446" s="1943" t="s">
        <v>2477</v>
      </c>
      <c r="B1446" s="1944"/>
      <c r="C1446" s="1944"/>
      <c r="D1446" s="1944"/>
      <c r="E1446" s="1944"/>
      <c r="F1446" s="1944"/>
      <c r="G1446" s="1944"/>
      <c r="H1446" s="1945"/>
      <c r="I1446" s="1805">
        <f>SUM(I1444:I1445)</f>
        <v>57.660000000000004</v>
      </c>
      <c r="J1446" s="1795"/>
    </row>
    <row r="1447" spans="1:10">
      <c r="A1447" s="1929"/>
      <c r="B1447" s="1930"/>
      <c r="C1447" s="1930"/>
      <c r="D1447" s="1930"/>
      <c r="E1447" s="1930"/>
      <c r="F1447" s="1930"/>
      <c r="G1447" s="1930"/>
      <c r="H1447" s="1930"/>
      <c r="I1447" s="1931"/>
      <c r="J1447" s="1795"/>
    </row>
    <row r="1448" spans="1:10" ht="25.5" customHeight="1">
      <c r="A1448" s="1784" t="str">
        <f>'PLANILHA SEM DESON'!B224</f>
        <v>COMP ELE 03</v>
      </c>
      <c r="B1448" s="1940" t="str">
        <f>VLOOKUP(A1448,'PLANILHA SEM DESON'!$B$17:$D$1700,2,FALSE)</f>
        <v>GUIA DE CABOS VERTICAL PARA RACK ABERTO 19"</v>
      </c>
      <c r="C1448" s="1941"/>
      <c r="D1448" s="1941"/>
      <c r="E1448" s="1941"/>
      <c r="F1448" s="1941"/>
      <c r="G1448" s="1941"/>
      <c r="H1448" s="1942"/>
      <c r="I1448" s="1785" t="str">
        <f>VLOOKUP(A1448,'PLANILHA SEM DESON'!$B$17:$D$1700,3,FALSE)</f>
        <v xml:space="preserve">un </v>
      </c>
      <c r="J1448" s="1786">
        <f>I1452</f>
        <v>162.79999999999998</v>
      </c>
    </row>
    <row r="1449" spans="1:10" ht="24">
      <c r="A1449" s="1788" t="s">
        <v>2470</v>
      </c>
      <c r="B1449" s="1789" t="s">
        <v>2471</v>
      </c>
      <c r="C1449" s="1790" t="s">
        <v>2468</v>
      </c>
      <c r="D1449" s="1791" t="s">
        <v>308</v>
      </c>
      <c r="E1449" s="1790" t="s">
        <v>202</v>
      </c>
      <c r="F1449" s="1792" t="s">
        <v>2472</v>
      </c>
      <c r="G1449" s="1790" t="s">
        <v>2473</v>
      </c>
      <c r="H1449" s="1793" t="s">
        <v>2474</v>
      </c>
      <c r="I1449" s="1794" t="s">
        <v>2475</v>
      </c>
      <c r="J1449" s="1795"/>
    </row>
    <row r="1450" spans="1:10">
      <c r="A1450" s="1797"/>
      <c r="B1450" s="1798"/>
      <c r="C1450" s="1798">
        <v>88264</v>
      </c>
      <c r="D1450" s="1799" t="s">
        <v>94</v>
      </c>
      <c r="E1450" s="1800" t="s">
        <v>57</v>
      </c>
      <c r="F1450" s="1811">
        <v>0.2</v>
      </c>
      <c r="G1450" s="1806">
        <v>25.54</v>
      </c>
      <c r="H1450" s="1802">
        <f>IF(E1450="H",G1450,TRUNC(G1450*(1-$K$7),2))</f>
        <v>25.54</v>
      </c>
      <c r="I1450" s="1803">
        <f t="shared" ref="I1450:I1451" si="200">TRUNC(H1450*F1450,2)</f>
        <v>5.0999999999999996</v>
      </c>
      <c r="J1450" s="1795"/>
    </row>
    <row r="1451" spans="1:10">
      <c r="A1451" s="1797"/>
      <c r="B1451" s="1798"/>
      <c r="C1451" s="1798" t="s">
        <v>65</v>
      </c>
      <c r="D1451" s="1799" t="s">
        <v>505</v>
      </c>
      <c r="E1451" s="1800" t="s">
        <v>55</v>
      </c>
      <c r="F1451" s="1811">
        <v>1</v>
      </c>
      <c r="G1451" s="1806">
        <v>158.51</v>
      </c>
      <c r="H1451" s="1802">
        <f>IF(E1451="H",G1451,TRUNC(G1451*(1-$K$7),2))</f>
        <v>157.69999999999999</v>
      </c>
      <c r="I1451" s="1803">
        <f t="shared" si="200"/>
        <v>157.69999999999999</v>
      </c>
      <c r="J1451" s="1795"/>
    </row>
    <row r="1452" spans="1:10">
      <c r="A1452" s="1943" t="s">
        <v>2477</v>
      </c>
      <c r="B1452" s="1944"/>
      <c r="C1452" s="1944"/>
      <c r="D1452" s="1944"/>
      <c r="E1452" s="1944"/>
      <c r="F1452" s="1944"/>
      <c r="G1452" s="1944"/>
      <c r="H1452" s="1945"/>
      <c r="I1452" s="1805">
        <f>SUM(I1450:I1451)</f>
        <v>162.79999999999998</v>
      </c>
      <c r="J1452" s="1795"/>
    </row>
    <row r="1453" spans="1:10">
      <c r="A1453" s="1929"/>
      <c r="B1453" s="1930"/>
      <c r="C1453" s="1930"/>
      <c r="D1453" s="1930"/>
      <c r="E1453" s="1930"/>
      <c r="F1453" s="1930"/>
      <c r="G1453" s="1930"/>
      <c r="H1453" s="1930"/>
      <c r="I1453" s="1931"/>
      <c r="J1453" s="1795"/>
    </row>
    <row r="1454" spans="1:10" ht="24" customHeight="1">
      <c r="A1454" s="1784" t="str">
        <f>'PLANILHA SEM DESON'!B225</f>
        <v>COMP ELE 02</v>
      </c>
      <c r="B1454" s="1940" t="str">
        <f>VLOOKUP(A1454,'PLANILHA SEM DESON'!$B$17:$D$1700,2,FALSE)</f>
        <v>GUIA ORGANIZADORA DE CABOS HORIZONTAL, 19´ 1 U</v>
      </c>
      <c r="C1454" s="1941"/>
      <c r="D1454" s="1941"/>
      <c r="E1454" s="1941"/>
      <c r="F1454" s="1941"/>
      <c r="G1454" s="1941"/>
      <c r="H1454" s="1942"/>
      <c r="I1454" s="1785" t="str">
        <f>VLOOKUP(A1454,'PLANILHA SEM DESON'!$B$17:$D$1700,3,FALSE)</f>
        <v xml:space="preserve">un </v>
      </c>
      <c r="J1454" s="1786">
        <f>I1459</f>
        <v>49</v>
      </c>
    </row>
    <row r="1455" spans="1:10" ht="24">
      <c r="A1455" s="1788" t="s">
        <v>2470</v>
      </c>
      <c r="B1455" s="1789" t="s">
        <v>2471</v>
      </c>
      <c r="C1455" s="1790" t="s">
        <v>2468</v>
      </c>
      <c r="D1455" s="1791" t="s">
        <v>308</v>
      </c>
      <c r="E1455" s="1790" t="s">
        <v>202</v>
      </c>
      <c r="F1455" s="1792" t="s">
        <v>2472</v>
      </c>
      <c r="G1455" s="1790" t="s">
        <v>2473</v>
      </c>
      <c r="H1455" s="1793" t="s">
        <v>2474</v>
      </c>
      <c r="I1455" s="1794" t="s">
        <v>2475</v>
      </c>
      <c r="J1455" s="1795"/>
    </row>
    <row r="1456" spans="1:10">
      <c r="A1456" s="1797"/>
      <c r="B1456" s="1798"/>
      <c r="C1456" s="1798">
        <v>88264</v>
      </c>
      <c r="D1456" s="1799" t="s">
        <v>94</v>
      </c>
      <c r="E1456" s="1800" t="s">
        <v>57</v>
      </c>
      <c r="F1456" s="1811">
        <v>0.2</v>
      </c>
      <c r="G1456" s="1806">
        <v>25.54</v>
      </c>
      <c r="H1456" s="1802">
        <f>IF(E1456="H",G1456,TRUNC(G1456*(1-$K$7),2))</f>
        <v>25.54</v>
      </c>
      <c r="I1456" s="1803">
        <f t="shared" ref="I1456:I1458" si="201">TRUNC(H1456*F1456,2)</f>
        <v>5.0999999999999996</v>
      </c>
      <c r="J1456" s="1795"/>
    </row>
    <row r="1457" spans="1:10" ht="24">
      <c r="A1457" s="1797"/>
      <c r="B1457" s="1798"/>
      <c r="C1457" s="1798">
        <v>88247</v>
      </c>
      <c r="D1457" s="1799" t="s">
        <v>93</v>
      </c>
      <c r="E1457" s="1800" t="s">
        <v>57</v>
      </c>
      <c r="F1457" s="1811">
        <v>0.2</v>
      </c>
      <c r="G1457" s="1806">
        <v>21</v>
      </c>
      <c r="H1457" s="1802">
        <f>IF(E1457="H",G1457,TRUNC(G1457*(1-$K$7),2))</f>
        <v>21</v>
      </c>
      <c r="I1457" s="1803">
        <f t="shared" si="201"/>
        <v>4.2</v>
      </c>
      <c r="J1457" s="1795"/>
    </row>
    <row r="1458" spans="1:10">
      <c r="A1458" s="1797"/>
      <c r="B1458" s="1798"/>
      <c r="C1458" s="1798" t="s">
        <v>65</v>
      </c>
      <c r="D1458" s="1799" t="s">
        <v>2423</v>
      </c>
      <c r="E1458" s="1800" t="s">
        <v>55</v>
      </c>
      <c r="F1458" s="1811">
        <v>1</v>
      </c>
      <c r="G1458" s="1806">
        <v>39.909999999999997</v>
      </c>
      <c r="H1458" s="1802">
        <f>IF(E1458="H",G1458,TRUNC(G1458*(1-$K$7),2))</f>
        <v>39.700000000000003</v>
      </c>
      <c r="I1458" s="1803">
        <f t="shared" si="201"/>
        <v>39.700000000000003</v>
      </c>
      <c r="J1458" s="1795"/>
    </row>
    <row r="1459" spans="1:10">
      <c r="A1459" s="1943" t="s">
        <v>2477</v>
      </c>
      <c r="B1459" s="1944"/>
      <c r="C1459" s="1944"/>
      <c r="D1459" s="1944"/>
      <c r="E1459" s="1944"/>
      <c r="F1459" s="1944"/>
      <c r="G1459" s="1944"/>
      <c r="H1459" s="1945"/>
      <c r="I1459" s="1805">
        <f>SUM(I1456:I1458)</f>
        <v>49</v>
      </c>
      <c r="J1459" s="1795"/>
    </row>
    <row r="1460" spans="1:10">
      <c r="A1460" s="1929"/>
      <c r="B1460" s="1930"/>
      <c r="C1460" s="1930"/>
      <c r="D1460" s="1930"/>
      <c r="E1460" s="1930"/>
      <c r="F1460" s="1930"/>
      <c r="G1460" s="1930"/>
      <c r="H1460" s="1930"/>
      <c r="I1460" s="1931"/>
      <c r="J1460" s="1795"/>
    </row>
    <row r="1461" spans="1:10" ht="24.75" customHeight="1">
      <c r="A1461" s="1784" t="str">
        <f>'PLANILHA SEM DESON'!B226</f>
        <v>COMP ELE 05</v>
      </c>
      <c r="B1461" s="1940" t="str">
        <f>VLOOKUP(A1461,'PLANILHA SEM DESON'!$B$17:$D$1700,2,FALSE)</f>
        <v>SWITCH (10/100)BASE TX + (1000)BASE T (24 + 2) PORTAS</v>
      </c>
      <c r="C1461" s="1941"/>
      <c r="D1461" s="1941"/>
      <c r="E1461" s="1941"/>
      <c r="F1461" s="1941"/>
      <c r="G1461" s="1941"/>
      <c r="H1461" s="1942"/>
      <c r="I1461" s="1785" t="str">
        <f>VLOOKUP(A1461,'PLANILHA SEM DESON'!$B$17:$D$1700,3,FALSE)</f>
        <v xml:space="preserve">un </v>
      </c>
      <c r="J1461" s="1786">
        <f>I1466</f>
        <v>2140.11</v>
      </c>
    </row>
    <row r="1462" spans="1:10" ht="24">
      <c r="A1462" s="1788" t="s">
        <v>2470</v>
      </c>
      <c r="B1462" s="1789" t="s">
        <v>2471</v>
      </c>
      <c r="C1462" s="1790" t="s">
        <v>2468</v>
      </c>
      <c r="D1462" s="1791" t="s">
        <v>308</v>
      </c>
      <c r="E1462" s="1790" t="s">
        <v>202</v>
      </c>
      <c r="F1462" s="1792" t="s">
        <v>2472</v>
      </c>
      <c r="G1462" s="1790" t="s">
        <v>2473</v>
      </c>
      <c r="H1462" s="1793" t="s">
        <v>2474</v>
      </c>
      <c r="I1462" s="1794" t="s">
        <v>2475</v>
      </c>
      <c r="J1462" s="1795"/>
    </row>
    <row r="1463" spans="1:10">
      <c r="A1463" s="1797"/>
      <c r="B1463" s="1798"/>
      <c r="C1463" s="1798">
        <v>88264</v>
      </c>
      <c r="D1463" s="1799" t="s">
        <v>94</v>
      </c>
      <c r="E1463" s="1800" t="s">
        <v>57</v>
      </c>
      <c r="F1463" s="1811">
        <v>1</v>
      </c>
      <c r="G1463" s="1806">
        <v>25.54</v>
      </c>
      <c r="H1463" s="1802">
        <f>IF(E1463="H",G1463,TRUNC(G1463*(1-$K$7),2))</f>
        <v>25.54</v>
      </c>
      <c r="I1463" s="1803">
        <f t="shared" ref="I1463:I1465" si="202">TRUNC(H1463*F1463,2)</f>
        <v>25.54</v>
      </c>
      <c r="J1463" s="1795"/>
    </row>
    <row r="1464" spans="1:10" ht="24">
      <c r="A1464" s="1797"/>
      <c r="B1464" s="1798"/>
      <c r="C1464" s="1798">
        <v>88247</v>
      </c>
      <c r="D1464" s="1799" t="s">
        <v>93</v>
      </c>
      <c r="E1464" s="1800" t="s">
        <v>57</v>
      </c>
      <c r="F1464" s="1811">
        <v>1</v>
      </c>
      <c r="G1464" s="1806">
        <v>21</v>
      </c>
      <c r="H1464" s="1802">
        <f>IF(E1464="H",G1464,TRUNC(G1464*(1-$K$7),2))</f>
        <v>21</v>
      </c>
      <c r="I1464" s="1803">
        <f t="shared" si="202"/>
        <v>21</v>
      </c>
      <c r="J1464" s="1795"/>
    </row>
    <row r="1465" spans="1:10">
      <c r="A1465" s="1797"/>
      <c r="B1465" s="1798"/>
      <c r="C1465" s="1798" t="s">
        <v>65</v>
      </c>
      <c r="D1465" s="1799" t="s">
        <v>1130</v>
      </c>
      <c r="E1465" s="1800" t="s">
        <v>55</v>
      </c>
      <c r="F1465" s="1811">
        <v>1</v>
      </c>
      <c r="G1465" s="1806">
        <v>2104.31</v>
      </c>
      <c r="H1465" s="1802">
        <f>IF(E1465="H",G1465,TRUNC(G1465*(1-$K$7),2))</f>
        <v>2093.5700000000002</v>
      </c>
      <c r="I1465" s="1803">
        <f t="shared" si="202"/>
        <v>2093.5700000000002</v>
      </c>
      <c r="J1465" s="1795"/>
    </row>
    <row r="1466" spans="1:10">
      <c r="A1466" s="1943" t="s">
        <v>2477</v>
      </c>
      <c r="B1466" s="1944"/>
      <c r="C1466" s="1944"/>
      <c r="D1466" s="1944"/>
      <c r="E1466" s="1944"/>
      <c r="F1466" s="1944"/>
      <c r="G1466" s="1944"/>
      <c r="H1466" s="1945"/>
      <c r="I1466" s="1805">
        <f>SUM(I1463:I1465)</f>
        <v>2140.11</v>
      </c>
      <c r="J1466" s="1795"/>
    </row>
    <row r="1467" spans="1:10">
      <c r="A1467" s="1929"/>
      <c r="B1467" s="1930"/>
      <c r="C1467" s="1930"/>
      <c r="D1467" s="1930"/>
      <c r="E1467" s="1930"/>
      <c r="F1467" s="1930"/>
      <c r="G1467" s="1930"/>
      <c r="H1467" s="1930"/>
      <c r="I1467" s="1931"/>
      <c r="J1467" s="1795"/>
    </row>
    <row r="1468" spans="1:10" ht="25.5" customHeight="1">
      <c r="A1468" s="1784" t="str">
        <f>'PLANILHA SEM DESON'!B227</f>
        <v>COMP ELE 09</v>
      </c>
      <c r="B1468" s="1940" t="str">
        <f>VLOOKUP(A1468,'PLANILHA SEM DESON'!$B$17:$D$1700,2,FALSE)</f>
        <v>BANDEJA DESLIZANTE PERFURADA COM ANEL ORGANIZADOR DE CABOS E PÉS NIVELADORES</v>
      </c>
      <c r="C1468" s="1941"/>
      <c r="D1468" s="1941"/>
      <c r="E1468" s="1941"/>
      <c r="F1468" s="1941"/>
      <c r="G1468" s="1941"/>
      <c r="H1468" s="1942"/>
      <c r="I1468" s="1785" t="str">
        <f>VLOOKUP(A1468,'PLANILHA SEM DESON'!$B$17:$D$1700,3,FALSE)</f>
        <v xml:space="preserve">un </v>
      </c>
      <c r="J1468" s="1786">
        <f>I1476</f>
        <v>177.48</v>
      </c>
    </row>
    <row r="1469" spans="1:10" ht="24">
      <c r="A1469" s="1788" t="s">
        <v>2470</v>
      </c>
      <c r="B1469" s="1789" t="s">
        <v>2471</v>
      </c>
      <c r="C1469" s="1790" t="s">
        <v>2468</v>
      </c>
      <c r="D1469" s="1791" t="s">
        <v>308</v>
      </c>
      <c r="E1469" s="1790" t="s">
        <v>202</v>
      </c>
      <c r="F1469" s="1792" t="s">
        <v>2472</v>
      </c>
      <c r="G1469" s="1790" t="s">
        <v>2473</v>
      </c>
      <c r="H1469" s="1793" t="s">
        <v>2474</v>
      </c>
      <c r="I1469" s="1794" t="s">
        <v>2475</v>
      </c>
      <c r="J1469" s="1795"/>
    </row>
    <row r="1470" spans="1:10">
      <c r="A1470" s="1797"/>
      <c r="B1470" s="1798"/>
      <c r="C1470" s="1798">
        <v>88264</v>
      </c>
      <c r="D1470" s="1799" t="s">
        <v>94</v>
      </c>
      <c r="E1470" s="1800" t="s">
        <v>57</v>
      </c>
      <c r="F1470" s="1811">
        <v>0.2</v>
      </c>
      <c r="G1470" s="1806">
        <v>25.54</v>
      </c>
      <c r="H1470" s="1802">
        <f t="shared" ref="H1470:H1475" si="203">IF(E1470="H",G1470,TRUNC(G1470*(1-$K$7),2))</f>
        <v>25.54</v>
      </c>
      <c r="I1470" s="1803">
        <f t="shared" ref="I1470:I1475" si="204">TRUNC(H1470*F1470,2)</f>
        <v>5.0999999999999996</v>
      </c>
      <c r="J1470" s="1795"/>
    </row>
    <row r="1471" spans="1:10" ht="24">
      <c r="A1471" s="1797"/>
      <c r="B1471" s="1798"/>
      <c r="C1471" s="1798">
        <v>88247</v>
      </c>
      <c r="D1471" s="1799" t="s">
        <v>93</v>
      </c>
      <c r="E1471" s="1800" t="s">
        <v>57</v>
      </c>
      <c r="F1471" s="1811">
        <v>0.2</v>
      </c>
      <c r="G1471" s="1806">
        <v>21</v>
      </c>
      <c r="H1471" s="1802">
        <f t="shared" si="203"/>
        <v>21</v>
      </c>
      <c r="I1471" s="1803">
        <f t="shared" si="204"/>
        <v>4.2</v>
      </c>
      <c r="J1471" s="1795"/>
    </row>
    <row r="1472" spans="1:10">
      <c r="A1472" s="1797"/>
      <c r="B1472" s="1798"/>
      <c r="C1472" s="1798" t="s">
        <v>65</v>
      </c>
      <c r="D1472" s="1799" t="s">
        <v>2190</v>
      </c>
      <c r="E1472" s="1800" t="s">
        <v>55</v>
      </c>
      <c r="F1472" s="1811">
        <v>1</v>
      </c>
      <c r="G1472" s="1806">
        <v>106.83000000000001</v>
      </c>
      <c r="H1472" s="1802">
        <f t="shared" si="203"/>
        <v>106.28</v>
      </c>
      <c r="I1472" s="1803">
        <f t="shared" si="204"/>
        <v>106.28</v>
      </c>
      <c r="J1472" s="1795"/>
    </row>
    <row r="1473" spans="1:10">
      <c r="A1473" s="1797"/>
      <c r="B1473" s="1798"/>
      <c r="C1473" s="1798">
        <v>4374</v>
      </c>
      <c r="D1473" s="1799" t="s">
        <v>2191</v>
      </c>
      <c r="E1473" s="1800" t="s">
        <v>55</v>
      </c>
      <c r="F1473" s="1811">
        <v>2</v>
      </c>
      <c r="G1473" s="1806">
        <v>0.37</v>
      </c>
      <c r="H1473" s="1802">
        <f t="shared" si="203"/>
        <v>0.36</v>
      </c>
      <c r="I1473" s="1803">
        <f t="shared" si="204"/>
        <v>0.72</v>
      </c>
      <c r="J1473" s="1795"/>
    </row>
    <row r="1474" spans="1:10">
      <c r="A1474" s="1797"/>
      <c r="B1474" s="1798"/>
      <c r="C1474" s="1798" t="s">
        <v>65</v>
      </c>
      <c r="D1474" s="1799" t="s">
        <v>2192</v>
      </c>
      <c r="E1474" s="1800" t="s">
        <v>574</v>
      </c>
      <c r="F1474" s="1811">
        <v>1</v>
      </c>
      <c r="G1474" s="1806">
        <v>56.3</v>
      </c>
      <c r="H1474" s="1802">
        <f t="shared" si="203"/>
        <v>56.01</v>
      </c>
      <c r="I1474" s="1803">
        <f t="shared" si="204"/>
        <v>56.01</v>
      </c>
      <c r="J1474" s="1795"/>
    </row>
    <row r="1475" spans="1:10">
      <c r="A1475" s="1797"/>
      <c r="B1475" s="1798"/>
      <c r="C1475" s="1798" t="s">
        <v>65</v>
      </c>
      <c r="D1475" s="1799" t="s">
        <v>2424</v>
      </c>
      <c r="E1475" s="1800" t="s">
        <v>54</v>
      </c>
      <c r="F1475" s="1811">
        <v>1</v>
      </c>
      <c r="G1475" s="1806">
        <v>5.2</v>
      </c>
      <c r="H1475" s="1802">
        <f t="shared" si="203"/>
        <v>5.17</v>
      </c>
      <c r="I1475" s="1803">
        <f t="shared" si="204"/>
        <v>5.17</v>
      </c>
      <c r="J1475" s="1795"/>
    </row>
    <row r="1476" spans="1:10">
      <c r="A1476" s="1943" t="s">
        <v>2477</v>
      </c>
      <c r="B1476" s="1944"/>
      <c r="C1476" s="1944"/>
      <c r="D1476" s="1944"/>
      <c r="E1476" s="1944"/>
      <c r="F1476" s="1944"/>
      <c r="G1476" s="1944"/>
      <c r="H1476" s="1945"/>
      <c r="I1476" s="1805">
        <f>SUM(I1470:I1475)</f>
        <v>177.48</v>
      </c>
      <c r="J1476" s="1795"/>
    </row>
    <row r="1477" spans="1:10">
      <c r="A1477" s="1929"/>
      <c r="B1477" s="1930"/>
      <c r="C1477" s="1930"/>
      <c r="D1477" s="1930"/>
      <c r="E1477" s="1930"/>
      <c r="F1477" s="1930"/>
      <c r="G1477" s="1930"/>
      <c r="H1477" s="1930"/>
      <c r="I1477" s="1931"/>
      <c r="J1477" s="1795"/>
    </row>
    <row r="1478" spans="1:10" ht="24" customHeight="1">
      <c r="A1478" s="1784" t="str">
        <f>'PLANILHA SEM DESON'!B230</f>
        <v>COMP ELE 13</v>
      </c>
      <c r="B1478" s="1940" t="str">
        <f>VLOOKUP(A1478,'PLANILHA SEM DESON'!$B$17:$D$1700,2,FALSE)</f>
        <v xml:space="preserve">CAIXA DE PASSAGEM ENTERRADA EM ALVENARIA DE 400X400X400MM, COM TAMPA 400X400X50MM </v>
      </c>
      <c r="C1478" s="1941"/>
      <c r="D1478" s="1941"/>
      <c r="E1478" s="1941"/>
      <c r="F1478" s="1941"/>
      <c r="G1478" s="1941"/>
      <c r="H1478" s="1942"/>
      <c r="I1478" s="1785" t="str">
        <f>VLOOKUP(A1478,'PLANILHA SEM DESON'!$B$17:$D$1700,3,FALSE)</f>
        <v xml:space="preserve">un </v>
      </c>
      <c r="J1478" s="1786">
        <f>I1491</f>
        <v>263.55</v>
      </c>
    </row>
    <row r="1479" spans="1:10" ht="24">
      <c r="A1479" s="1788" t="s">
        <v>2470</v>
      </c>
      <c r="B1479" s="1789" t="s">
        <v>2471</v>
      </c>
      <c r="C1479" s="1790" t="s">
        <v>2468</v>
      </c>
      <c r="D1479" s="1791" t="s">
        <v>308</v>
      </c>
      <c r="E1479" s="1790" t="s">
        <v>202</v>
      </c>
      <c r="F1479" s="1792" t="s">
        <v>2472</v>
      </c>
      <c r="G1479" s="1790" t="s">
        <v>2473</v>
      </c>
      <c r="H1479" s="1793" t="s">
        <v>2474</v>
      </c>
      <c r="I1479" s="1794" t="s">
        <v>2475</v>
      </c>
      <c r="J1479" s="1795"/>
    </row>
    <row r="1480" spans="1:10">
      <c r="A1480" s="1797"/>
      <c r="B1480" s="1798"/>
      <c r="C1480" s="1798">
        <v>88309</v>
      </c>
      <c r="D1480" s="1799" t="s">
        <v>103</v>
      </c>
      <c r="E1480" s="1800" t="s">
        <v>57</v>
      </c>
      <c r="F1480" s="1811">
        <v>2.42</v>
      </c>
      <c r="G1480" s="1806">
        <v>24.59</v>
      </c>
      <c r="H1480" s="1802">
        <f t="shared" ref="H1480:H1490" si="205">IF(E1480="H",G1480,TRUNC(G1480*(1-$K$7),2))</f>
        <v>24.59</v>
      </c>
      <c r="I1480" s="1803">
        <f t="shared" ref="I1480:I1490" si="206">TRUNC(H1480*F1480,2)</f>
        <v>59.5</v>
      </c>
      <c r="J1480" s="1795"/>
    </row>
    <row r="1481" spans="1:10">
      <c r="A1481" s="1797"/>
      <c r="B1481" s="1798"/>
      <c r="C1481" s="1798">
        <v>88316</v>
      </c>
      <c r="D1481" s="1799" t="s">
        <v>66</v>
      </c>
      <c r="E1481" s="1800" t="s">
        <v>57</v>
      </c>
      <c r="F1481" s="1811">
        <v>4.0999999999999996</v>
      </c>
      <c r="G1481" s="1806">
        <v>19.45</v>
      </c>
      <c r="H1481" s="1802">
        <f t="shared" si="205"/>
        <v>19.45</v>
      </c>
      <c r="I1481" s="1803">
        <f t="shared" si="206"/>
        <v>79.739999999999995</v>
      </c>
      <c r="J1481" s="1795"/>
    </row>
    <row r="1482" spans="1:10" ht="24">
      <c r="A1482" s="1797"/>
      <c r="B1482" s="1798"/>
      <c r="C1482" s="1816">
        <v>43059</v>
      </c>
      <c r="D1482" s="1799" t="s">
        <v>529</v>
      </c>
      <c r="E1482" s="1800" t="s">
        <v>100</v>
      </c>
      <c r="F1482" s="1809">
        <v>0.56000000000000005</v>
      </c>
      <c r="G1482" s="1806">
        <v>10.08</v>
      </c>
      <c r="H1482" s="1802">
        <f t="shared" si="205"/>
        <v>10.02</v>
      </c>
      <c r="I1482" s="1803">
        <f t="shared" ref="I1482:I1485" si="207">TRUNC(H1482*F1482,2)</f>
        <v>5.61</v>
      </c>
      <c r="J1482" s="1795"/>
    </row>
    <row r="1483" spans="1:10" ht="24">
      <c r="A1483" s="1797"/>
      <c r="B1483" s="1798"/>
      <c r="C1483" s="1816">
        <v>367</v>
      </c>
      <c r="D1483" s="1799" t="s">
        <v>530</v>
      </c>
      <c r="E1483" s="1800" t="s">
        <v>47</v>
      </c>
      <c r="F1483" s="1812">
        <v>5.0400000000000002E-3</v>
      </c>
      <c r="G1483" s="1806">
        <v>126.63</v>
      </c>
      <c r="H1483" s="1802">
        <f t="shared" si="205"/>
        <v>125.98</v>
      </c>
      <c r="I1483" s="1803">
        <f t="shared" si="207"/>
        <v>0.63</v>
      </c>
      <c r="J1483" s="1795"/>
    </row>
    <row r="1484" spans="1:10" ht="24">
      <c r="A1484" s="1797"/>
      <c r="B1484" s="1798"/>
      <c r="C1484" s="1816">
        <v>370</v>
      </c>
      <c r="D1484" s="1799" t="s">
        <v>412</v>
      </c>
      <c r="E1484" s="1800" t="s">
        <v>47</v>
      </c>
      <c r="F1484" s="1809">
        <v>7.0000000000000007E-2</v>
      </c>
      <c r="G1484" s="1806">
        <v>125</v>
      </c>
      <c r="H1484" s="1802">
        <f t="shared" si="205"/>
        <v>124.36</v>
      </c>
      <c r="I1484" s="1803">
        <f t="shared" si="207"/>
        <v>8.6999999999999993</v>
      </c>
      <c r="J1484" s="1795"/>
    </row>
    <row r="1485" spans="1:10">
      <c r="A1485" s="1797"/>
      <c r="B1485" s="1798"/>
      <c r="C1485" s="1816">
        <v>1106</v>
      </c>
      <c r="D1485" s="1799" t="s">
        <v>531</v>
      </c>
      <c r="E1485" s="1800" t="s">
        <v>100</v>
      </c>
      <c r="F1485" s="1806">
        <v>5.78</v>
      </c>
      <c r="G1485" s="1806">
        <v>0.95</v>
      </c>
      <c r="H1485" s="1802">
        <f t="shared" si="205"/>
        <v>0.94</v>
      </c>
      <c r="I1485" s="1803">
        <f t="shared" si="207"/>
        <v>5.43</v>
      </c>
      <c r="J1485" s="1795"/>
    </row>
    <row r="1486" spans="1:10" ht="24">
      <c r="A1486" s="1797"/>
      <c r="B1486" s="1798"/>
      <c r="C1486" s="1816">
        <v>1358</v>
      </c>
      <c r="D1486" s="1799" t="s">
        <v>532</v>
      </c>
      <c r="E1486" s="1800" t="s">
        <v>46</v>
      </c>
      <c r="F1486" s="1806">
        <v>0.08</v>
      </c>
      <c r="G1486" s="1806">
        <v>78.69</v>
      </c>
      <c r="H1486" s="1802">
        <f t="shared" si="205"/>
        <v>78.28</v>
      </c>
      <c r="I1486" s="1803">
        <f t="shared" si="206"/>
        <v>6.26</v>
      </c>
      <c r="J1486" s="1795"/>
    </row>
    <row r="1487" spans="1:10">
      <c r="A1487" s="1797"/>
      <c r="B1487" s="1798"/>
      <c r="C1487" s="1816">
        <v>1379</v>
      </c>
      <c r="D1487" s="1799" t="s">
        <v>172</v>
      </c>
      <c r="E1487" s="1800" t="s">
        <v>100</v>
      </c>
      <c r="F1487" s="1806">
        <v>16.47</v>
      </c>
      <c r="G1487" s="1806">
        <v>0.95</v>
      </c>
      <c r="H1487" s="1802">
        <f t="shared" si="205"/>
        <v>0.94</v>
      </c>
      <c r="I1487" s="1803">
        <f t="shared" si="206"/>
        <v>15.48</v>
      </c>
      <c r="J1487" s="1795"/>
    </row>
    <row r="1488" spans="1:10" ht="24">
      <c r="A1488" s="1797"/>
      <c r="B1488" s="1798"/>
      <c r="C1488" s="1816">
        <v>4718</v>
      </c>
      <c r="D1488" s="1799" t="s">
        <v>413</v>
      </c>
      <c r="E1488" s="1800" t="s">
        <v>47</v>
      </c>
      <c r="F1488" s="1812">
        <v>5.8399999999999997E-3</v>
      </c>
      <c r="G1488" s="1806">
        <v>108.18</v>
      </c>
      <c r="H1488" s="1802">
        <f t="shared" si="205"/>
        <v>107.62</v>
      </c>
      <c r="I1488" s="1803">
        <f t="shared" si="206"/>
        <v>0.62</v>
      </c>
      <c r="J1488" s="1795"/>
    </row>
    <row r="1489" spans="1:10" ht="24">
      <c r="A1489" s="1797"/>
      <c r="B1489" s="1798"/>
      <c r="C1489" s="1816">
        <v>4722</v>
      </c>
      <c r="D1489" s="1799" t="s">
        <v>533</v>
      </c>
      <c r="E1489" s="1800" t="s">
        <v>47</v>
      </c>
      <c r="F1489" s="1812">
        <v>5.8399999999999997E-3</v>
      </c>
      <c r="G1489" s="1806">
        <v>101.65</v>
      </c>
      <c r="H1489" s="1802">
        <f t="shared" si="205"/>
        <v>101.13</v>
      </c>
      <c r="I1489" s="1803">
        <f t="shared" si="206"/>
        <v>0.59</v>
      </c>
      <c r="J1489" s="1795"/>
    </row>
    <row r="1490" spans="1:10">
      <c r="A1490" s="1797"/>
      <c r="B1490" s="1798"/>
      <c r="C1490" s="1816">
        <v>7258</v>
      </c>
      <c r="D1490" s="1799" t="s">
        <v>173</v>
      </c>
      <c r="E1490" s="1800" t="s">
        <v>55</v>
      </c>
      <c r="F1490" s="1806">
        <v>89</v>
      </c>
      <c r="G1490" s="1806">
        <v>0.92</v>
      </c>
      <c r="H1490" s="1802">
        <f t="shared" si="205"/>
        <v>0.91</v>
      </c>
      <c r="I1490" s="1803">
        <f t="shared" si="206"/>
        <v>80.989999999999995</v>
      </c>
      <c r="J1490" s="1795"/>
    </row>
    <row r="1491" spans="1:10">
      <c r="A1491" s="1943" t="s">
        <v>2477</v>
      </c>
      <c r="B1491" s="1944"/>
      <c r="C1491" s="1944"/>
      <c r="D1491" s="1944"/>
      <c r="E1491" s="1944"/>
      <c r="F1491" s="1944"/>
      <c r="G1491" s="1944"/>
      <c r="H1491" s="1945"/>
      <c r="I1491" s="1805">
        <f>SUM(I1480:I1490)</f>
        <v>263.55</v>
      </c>
      <c r="J1491" s="1795"/>
    </row>
    <row r="1492" spans="1:10">
      <c r="A1492" s="1929"/>
      <c r="B1492" s="1930"/>
      <c r="C1492" s="1930"/>
      <c r="D1492" s="1930"/>
      <c r="E1492" s="1930"/>
      <c r="F1492" s="1930"/>
      <c r="G1492" s="1930"/>
      <c r="H1492" s="1930"/>
      <c r="I1492" s="1931"/>
      <c r="J1492" s="1795"/>
    </row>
    <row r="1493" spans="1:10" ht="25.5" customHeight="1">
      <c r="A1493" s="1784" t="str">
        <f>'PLANILHA SEM DESON'!B231</f>
        <v>COMP ELE 14</v>
      </c>
      <c r="B1493" s="1940" t="str">
        <f>VLOOKUP(A1493,'PLANILHA SEM DESON'!$B$17:$D$1700,2,FALSE)</f>
        <v>CAIXA DE PASSAGEM METÁLICA PINTADA DE SOBREPOR 250X250X100 MM - FORNECIMENTO E INSTALAÇÃO</v>
      </c>
      <c r="C1493" s="1941"/>
      <c r="D1493" s="1941"/>
      <c r="E1493" s="1941"/>
      <c r="F1493" s="1941"/>
      <c r="G1493" s="1941"/>
      <c r="H1493" s="1942"/>
      <c r="I1493" s="1785" t="str">
        <f>VLOOKUP(A1493,'PLANILHA SEM DESON'!$B$17:$D$1700,3,FALSE)</f>
        <v>m</v>
      </c>
      <c r="J1493" s="1786">
        <f>I1498</f>
        <v>57.92</v>
      </c>
    </row>
    <row r="1494" spans="1:10" ht="24">
      <c r="A1494" s="1788" t="s">
        <v>2470</v>
      </c>
      <c r="B1494" s="1789" t="s">
        <v>2471</v>
      </c>
      <c r="C1494" s="1790" t="s">
        <v>2468</v>
      </c>
      <c r="D1494" s="1791" t="s">
        <v>308</v>
      </c>
      <c r="E1494" s="1790" t="s">
        <v>202</v>
      </c>
      <c r="F1494" s="1792" t="s">
        <v>2472</v>
      </c>
      <c r="G1494" s="1790" t="s">
        <v>2473</v>
      </c>
      <c r="H1494" s="1793" t="s">
        <v>2474</v>
      </c>
      <c r="I1494" s="1794" t="s">
        <v>2475</v>
      </c>
      <c r="J1494" s="1795"/>
    </row>
    <row r="1495" spans="1:10">
      <c r="A1495" s="1797"/>
      <c r="B1495" s="1798"/>
      <c r="C1495" s="1798">
        <v>88264</v>
      </c>
      <c r="D1495" s="1799" t="s">
        <v>94</v>
      </c>
      <c r="E1495" s="1800" t="s">
        <v>57</v>
      </c>
      <c r="F1495" s="1811">
        <v>0.34599999999999997</v>
      </c>
      <c r="G1495" s="1806">
        <v>25.54</v>
      </c>
      <c r="H1495" s="1802">
        <f>IF(E1495="H",G1495,TRUNC(G1495*(1-$K$7),2))</f>
        <v>25.54</v>
      </c>
      <c r="I1495" s="1803">
        <f t="shared" ref="I1495:I1497" si="208">TRUNC(H1495*F1495,2)</f>
        <v>8.83</v>
      </c>
      <c r="J1495" s="1795"/>
    </row>
    <row r="1496" spans="1:10" ht="24">
      <c r="A1496" s="1797"/>
      <c r="B1496" s="1798"/>
      <c r="C1496" s="1798">
        <v>88247</v>
      </c>
      <c r="D1496" s="1799" t="s">
        <v>93</v>
      </c>
      <c r="E1496" s="1800" t="s">
        <v>57</v>
      </c>
      <c r="F1496" s="1811">
        <v>0.34599999999999997</v>
      </c>
      <c r="G1496" s="1806">
        <v>21</v>
      </c>
      <c r="H1496" s="1802">
        <f>IF(E1496="H",G1496,TRUNC(G1496*(1-$K$7),2))</f>
        <v>21</v>
      </c>
      <c r="I1496" s="1803">
        <f t="shared" si="208"/>
        <v>7.26</v>
      </c>
      <c r="J1496" s="1795"/>
    </row>
    <row r="1497" spans="1:10" ht="24">
      <c r="A1497" s="1797"/>
      <c r="B1497" s="1798"/>
      <c r="C1497" s="1798">
        <v>39771</v>
      </c>
      <c r="D1497" s="1799" t="s">
        <v>1545</v>
      </c>
      <c r="E1497" s="1800" t="s">
        <v>55</v>
      </c>
      <c r="F1497" s="1811">
        <v>1</v>
      </c>
      <c r="G1497" s="1806">
        <v>42.05</v>
      </c>
      <c r="H1497" s="1802">
        <f>IF(E1497="H",G1497,TRUNC(G1497*(1-$K$7),2))</f>
        <v>41.83</v>
      </c>
      <c r="I1497" s="1803">
        <f t="shared" si="208"/>
        <v>41.83</v>
      </c>
      <c r="J1497" s="1795"/>
    </row>
    <row r="1498" spans="1:10">
      <c r="A1498" s="1943" t="s">
        <v>2477</v>
      </c>
      <c r="B1498" s="1944"/>
      <c r="C1498" s="1944"/>
      <c r="D1498" s="1944"/>
      <c r="E1498" s="1944"/>
      <c r="F1498" s="1944"/>
      <c r="G1498" s="1944"/>
      <c r="H1498" s="1945"/>
      <c r="I1498" s="1805">
        <f>SUM(I1495:I1497)</f>
        <v>57.92</v>
      </c>
      <c r="J1498" s="1795"/>
    </row>
    <row r="1499" spans="1:10">
      <c r="A1499" s="1929"/>
      <c r="B1499" s="1930"/>
      <c r="C1499" s="1930"/>
      <c r="D1499" s="1930"/>
      <c r="E1499" s="1930"/>
      <c r="F1499" s="1930"/>
      <c r="G1499" s="1930"/>
      <c r="H1499" s="1930"/>
      <c r="I1499" s="1931"/>
      <c r="J1499" s="1795"/>
    </row>
    <row r="1500" spans="1:10" ht="24.75" customHeight="1">
      <c r="A1500" s="1784">
        <f>'PLANILHA SEM DESON'!B233</f>
        <v>98295</v>
      </c>
      <c r="B1500" s="1940" t="str">
        <f>VLOOKUP(A1500,'PLANILHA SEM DESON'!$B$17:$D$1700,2,FALSE)</f>
        <v>CABO ELETRÔNICO CATEGORIA 5E, INSTALADO EM EDIFICAÇÃO INSTITUCIONAL - FORNECIMENTO E INSTALAÇÃO. AF_11/2019</v>
      </c>
      <c r="C1500" s="1941"/>
      <c r="D1500" s="1941"/>
      <c r="E1500" s="1941"/>
      <c r="F1500" s="1941"/>
      <c r="G1500" s="1941"/>
      <c r="H1500" s="1942"/>
      <c r="I1500" s="1785" t="str">
        <f>VLOOKUP(A1500,'PLANILHA SEM DESON'!$B$17:$D$1700,3,FALSE)</f>
        <v xml:space="preserve">un </v>
      </c>
      <c r="J1500" s="1786">
        <f>I1505</f>
        <v>5.03</v>
      </c>
    </row>
    <row r="1501" spans="1:10" ht="24">
      <c r="A1501" s="1788" t="s">
        <v>2470</v>
      </c>
      <c r="B1501" s="1789" t="s">
        <v>2471</v>
      </c>
      <c r="C1501" s="1790" t="s">
        <v>2468</v>
      </c>
      <c r="D1501" s="1791" t="s">
        <v>308</v>
      </c>
      <c r="E1501" s="1790" t="s">
        <v>202</v>
      </c>
      <c r="F1501" s="1792" t="s">
        <v>2472</v>
      </c>
      <c r="G1501" s="1790" t="s">
        <v>2473</v>
      </c>
      <c r="H1501" s="1793" t="s">
        <v>2474</v>
      </c>
      <c r="I1501" s="1794" t="s">
        <v>2475</v>
      </c>
      <c r="J1501" s="1795"/>
    </row>
    <row r="1502" spans="1:10" ht="24">
      <c r="A1502" s="1797" t="s">
        <v>2476</v>
      </c>
      <c r="B1502" s="1798" t="s">
        <v>2479</v>
      </c>
      <c r="C1502" s="1798">
        <v>39598</v>
      </c>
      <c r="D1502" s="1799" t="s">
        <v>2720</v>
      </c>
      <c r="E1502" s="1800" t="s">
        <v>160</v>
      </c>
      <c r="F1502" s="1807">
        <v>1.05</v>
      </c>
      <c r="G1502" s="1801">
        <v>4.71</v>
      </c>
      <c r="H1502" s="1802">
        <f>IF(E1502="H",G1502,TRUNC(G1502*(1-$K$7),2))</f>
        <v>4.68</v>
      </c>
      <c r="I1502" s="1803">
        <f t="shared" ref="I1502:I1504" si="209">TRUNC(H1502*F1502,2)</f>
        <v>4.91</v>
      </c>
      <c r="J1502" s="1795"/>
    </row>
    <row r="1503" spans="1:10" ht="24">
      <c r="A1503" s="1797" t="s">
        <v>2476</v>
      </c>
      <c r="B1503" s="1798" t="s">
        <v>7</v>
      </c>
      <c r="C1503" s="1798">
        <v>88247</v>
      </c>
      <c r="D1503" s="1799" t="s">
        <v>93</v>
      </c>
      <c r="E1503" s="1800" t="s">
        <v>411</v>
      </c>
      <c r="F1503" s="1807">
        <v>2.8E-3</v>
      </c>
      <c r="G1503" s="1801">
        <v>21</v>
      </c>
      <c r="H1503" s="1802">
        <f>IF(E1503="H",G1503,TRUNC(G1503*(1-$K$7),2))</f>
        <v>21</v>
      </c>
      <c r="I1503" s="1803">
        <f t="shared" si="209"/>
        <v>0.05</v>
      </c>
      <c r="J1503" s="1795"/>
    </row>
    <row r="1504" spans="1:10">
      <c r="A1504" s="1797" t="s">
        <v>2476</v>
      </c>
      <c r="B1504" s="1798" t="s">
        <v>7</v>
      </c>
      <c r="C1504" s="1798">
        <v>88264</v>
      </c>
      <c r="D1504" s="1799" t="s">
        <v>94</v>
      </c>
      <c r="E1504" s="1800" t="s">
        <v>411</v>
      </c>
      <c r="F1504" s="1807">
        <v>2.8E-3</v>
      </c>
      <c r="G1504" s="1801">
        <v>25.54</v>
      </c>
      <c r="H1504" s="1802">
        <f>IF(E1504="H",G1504,TRUNC(G1504*(1-$K$7),2))</f>
        <v>25.54</v>
      </c>
      <c r="I1504" s="1803">
        <f t="shared" si="209"/>
        <v>7.0000000000000007E-2</v>
      </c>
      <c r="J1504" s="1795"/>
    </row>
    <row r="1505" spans="1:10">
      <c r="A1505" s="1943" t="s">
        <v>2477</v>
      </c>
      <c r="B1505" s="1944"/>
      <c r="C1505" s="1944"/>
      <c r="D1505" s="1944"/>
      <c r="E1505" s="1944"/>
      <c r="F1505" s="1944"/>
      <c r="G1505" s="1944"/>
      <c r="H1505" s="1945"/>
      <c r="I1505" s="1805">
        <f>SUM(I1502:I1504)</f>
        <v>5.03</v>
      </c>
      <c r="J1505" s="1795"/>
    </row>
    <row r="1506" spans="1:10">
      <c r="A1506" s="1929"/>
      <c r="B1506" s="1930"/>
      <c r="C1506" s="1930"/>
      <c r="D1506" s="1930"/>
      <c r="E1506" s="1930"/>
      <c r="F1506" s="1930"/>
      <c r="G1506" s="1930"/>
      <c r="H1506" s="1930"/>
      <c r="I1506" s="1931"/>
      <c r="J1506" s="1795"/>
    </row>
    <row r="1507" spans="1:10" ht="24.75" customHeight="1">
      <c r="A1507" s="1784" t="str">
        <f>'PLANILHA SEM DESON'!B234</f>
        <v>COMP ELE 34</v>
      </c>
      <c r="B1507" s="1940" t="str">
        <f>VLOOKUP(A1507,'PLANILHA SEM DESON'!$B$17:$D$1700,2,FALSE)</f>
        <v>CABO DE REDE FTP 5E 24 AWG</v>
      </c>
      <c r="C1507" s="1941"/>
      <c r="D1507" s="1941"/>
      <c r="E1507" s="1941"/>
      <c r="F1507" s="1941"/>
      <c r="G1507" s="1941"/>
      <c r="H1507" s="1942"/>
      <c r="I1507" s="1785" t="str">
        <f>VLOOKUP(A1507,'PLANILHA SEM DESON'!$B$17:$D$1700,3,FALSE)</f>
        <v xml:space="preserve">un </v>
      </c>
      <c r="J1507" s="1786">
        <f>I1512</f>
        <v>10.14</v>
      </c>
    </row>
    <row r="1508" spans="1:10" ht="24">
      <c r="A1508" s="1788" t="s">
        <v>2470</v>
      </c>
      <c r="B1508" s="1789" t="s">
        <v>2471</v>
      </c>
      <c r="C1508" s="1790" t="s">
        <v>2468</v>
      </c>
      <c r="D1508" s="1791" t="s">
        <v>308</v>
      </c>
      <c r="E1508" s="1790" t="s">
        <v>202</v>
      </c>
      <c r="F1508" s="1792" t="s">
        <v>2472</v>
      </c>
      <c r="G1508" s="1790" t="s">
        <v>2473</v>
      </c>
      <c r="H1508" s="1793" t="s">
        <v>2474</v>
      </c>
      <c r="I1508" s="1794" t="s">
        <v>2475</v>
      </c>
      <c r="J1508" s="1795"/>
    </row>
    <row r="1509" spans="1:10">
      <c r="A1509" s="1797"/>
      <c r="B1509" s="1798"/>
      <c r="C1509" s="1798">
        <v>88264</v>
      </c>
      <c r="D1509" s="1799" t="s">
        <v>94</v>
      </c>
      <c r="E1509" s="1800" t="s">
        <v>57</v>
      </c>
      <c r="F1509" s="1811">
        <v>0.15</v>
      </c>
      <c r="G1509" s="1806">
        <v>25.54</v>
      </c>
      <c r="H1509" s="1802">
        <f>IF(E1509="H",G1509,TRUNC(G1509*(1-$K$7),2))</f>
        <v>25.54</v>
      </c>
      <c r="I1509" s="1803">
        <f t="shared" ref="I1509:I1511" si="210">TRUNC(H1509*F1509,2)</f>
        <v>3.83</v>
      </c>
      <c r="J1509" s="1795"/>
    </row>
    <row r="1510" spans="1:10" ht="24">
      <c r="A1510" s="1797"/>
      <c r="B1510" s="1798"/>
      <c r="C1510" s="1798">
        <v>88247</v>
      </c>
      <c r="D1510" s="1799" t="s">
        <v>93</v>
      </c>
      <c r="E1510" s="1800" t="s">
        <v>57</v>
      </c>
      <c r="F1510" s="1811">
        <v>0.15</v>
      </c>
      <c r="G1510" s="1806">
        <v>21</v>
      </c>
      <c r="H1510" s="1802">
        <f>IF(E1510="H",G1510,TRUNC(G1510*(1-$K$7),2))</f>
        <v>21</v>
      </c>
      <c r="I1510" s="1803">
        <f t="shared" si="210"/>
        <v>3.15</v>
      </c>
      <c r="J1510" s="1795"/>
    </row>
    <row r="1511" spans="1:10">
      <c r="A1511" s="1797"/>
      <c r="B1511" s="1798"/>
      <c r="C1511" s="1798" t="s">
        <v>65</v>
      </c>
      <c r="D1511" s="1799" t="s">
        <v>1565</v>
      </c>
      <c r="E1511" s="1800" t="s">
        <v>54</v>
      </c>
      <c r="F1511" s="1811">
        <v>1</v>
      </c>
      <c r="G1511" s="1806">
        <v>3.18</v>
      </c>
      <c r="H1511" s="1802">
        <f>IF(E1511="H",G1511,TRUNC(G1511*(1-$K$7),2))</f>
        <v>3.16</v>
      </c>
      <c r="I1511" s="1803">
        <f t="shared" si="210"/>
        <v>3.16</v>
      </c>
      <c r="J1511" s="1795"/>
    </row>
    <row r="1512" spans="1:10">
      <c r="A1512" s="1943" t="s">
        <v>2477</v>
      </c>
      <c r="B1512" s="1944"/>
      <c r="C1512" s="1944"/>
      <c r="D1512" s="1944"/>
      <c r="E1512" s="1944"/>
      <c r="F1512" s="1944"/>
      <c r="G1512" s="1944"/>
      <c r="H1512" s="1945"/>
      <c r="I1512" s="1805">
        <f>SUM(I1509:I1511)</f>
        <v>10.14</v>
      </c>
      <c r="J1512" s="1795"/>
    </row>
    <row r="1513" spans="1:10">
      <c r="A1513" s="1929"/>
      <c r="B1513" s="1930"/>
      <c r="C1513" s="1930"/>
      <c r="D1513" s="1930"/>
      <c r="E1513" s="1930"/>
      <c r="F1513" s="1930"/>
      <c r="G1513" s="1930"/>
      <c r="H1513" s="1930"/>
      <c r="I1513" s="1931"/>
      <c r="J1513" s="1795"/>
    </row>
    <row r="1514" spans="1:10" ht="24.75" customHeight="1">
      <c r="A1514" s="1784" t="str">
        <f>'PLANILHA SEM DESON'!B235</f>
        <v>COMP ELE 10</v>
      </c>
      <c r="B1514" s="1940" t="str">
        <f>VLOOKUP(A1514,'PLANILHA SEM DESON'!$B$17:$D$1700,2,FALSE)</f>
        <v>PLUGUE 110 IDC - 4 PARES</v>
      </c>
      <c r="C1514" s="1941"/>
      <c r="D1514" s="1941"/>
      <c r="E1514" s="1941"/>
      <c r="F1514" s="1941"/>
      <c r="G1514" s="1941"/>
      <c r="H1514" s="1942"/>
      <c r="I1514" s="1785" t="str">
        <f>VLOOKUP(A1514,'PLANILHA SEM DESON'!$B$17:$D$1700,3,FALSE)</f>
        <v xml:space="preserve">un </v>
      </c>
      <c r="J1514" s="1786">
        <f>I1519</f>
        <v>236.76000000000002</v>
      </c>
    </row>
    <row r="1515" spans="1:10" ht="24">
      <c r="A1515" s="1788" t="s">
        <v>2470</v>
      </c>
      <c r="B1515" s="1789" t="s">
        <v>2471</v>
      </c>
      <c r="C1515" s="1790" t="s">
        <v>2468</v>
      </c>
      <c r="D1515" s="1791" t="s">
        <v>308</v>
      </c>
      <c r="E1515" s="1790" t="s">
        <v>202</v>
      </c>
      <c r="F1515" s="1792" t="s">
        <v>2472</v>
      </c>
      <c r="G1515" s="1790" t="s">
        <v>2473</v>
      </c>
      <c r="H1515" s="1793" t="s">
        <v>2474</v>
      </c>
      <c r="I1515" s="1794" t="s">
        <v>2475</v>
      </c>
      <c r="J1515" s="1795"/>
    </row>
    <row r="1516" spans="1:10">
      <c r="A1516" s="1797"/>
      <c r="B1516" s="1798"/>
      <c r="C1516" s="1798">
        <v>88264</v>
      </c>
      <c r="D1516" s="1799" t="s">
        <v>94</v>
      </c>
      <c r="E1516" s="1800" t="s">
        <v>57</v>
      </c>
      <c r="F1516" s="1811">
        <v>0.2</v>
      </c>
      <c r="G1516" s="1806">
        <v>25.54</v>
      </c>
      <c r="H1516" s="1802">
        <f>IF(E1516="H",G1516,TRUNC(G1516*(1-$K$7),2))</f>
        <v>25.54</v>
      </c>
      <c r="I1516" s="1803">
        <f t="shared" ref="I1516:I1518" si="211">TRUNC(H1516*F1516,2)</f>
        <v>5.0999999999999996</v>
      </c>
      <c r="J1516" s="1795"/>
    </row>
    <row r="1517" spans="1:10" ht="24">
      <c r="A1517" s="1797"/>
      <c r="B1517" s="1798"/>
      <c r="C1517" s="1798">
        <v>88247</v>
      </c>
      <c r="D1517" s="1799" t="s">
        <v>93</v>
      </c>
      <c r="E1517" s="1800" t="s">
        <v>57</v>
      </c>
      <c r="F1517" s="1811">
        <v>0.2</v>
      </c>
      <c r="G1517" s="1806">
        <v>21</v>
      </c>
      <c r="H1517" s="1802">
        <f>IF(E1517="H",G1517,TRUNC(G1517*(1-$K$7),2))</f>
        <v>21</v>
      </c>
      <c r="I1517" s="1803">
        <f t="shared" si="211"/>
        <v>4.2</v>
      </c>
      <c r="J1517" s="1795"/>
    </row>
    <row r="1518" spans="1:10">
      <c r="A1518" s="1797"/>
      <c r="B1518" s="1798"/>
      <c r="C1518" s="1798" t="s">
        <v>65</v>
      </c>
      <c r="D1518" s="1799" t="s">
        <v>2428</v>
      </c>
      <c r="E1518" s="1800" t="s">
        <v>55</v>
      </c>
      <c r="F1518" s="1811">
        <v>1</v>
      </c>
      <c r="G1518" s="1806">
        <v>228.63</v>
      </c>
      <c r="H1518" s="1802">
        <f>IF(E1518="H",G1518,TRUNC(G1518*(1-$K$7),2))</f>
        <v>227.46</v>
      </c>
      <c r="I1518" s="1803">
        <f t="shared" si="211"/>
        <v>227.46</v>
      </c>
      <c r="J1518" s="1795"/>
    </row>
    <row r="1519" spans="1:10">
      <c r="A1519" s="1943" t="s">
        <v>2477</v>
      </c>
      <c r="B1519" s="1944"/>
      <c r="C1519" s="1944"/>
      <c r="D1519" s="1944"/>
      <c r="E1519" s="1944"/>
      <c r="F1519" s="1944"/>
      <c r="G1519" s="1944"/>
      <c r="H1519" s="1945"/>
      <c r="I1519" s="1805">
        <f>SUM(I1516:I1518)</f>
        <v>236.76000000000002</v>
      </c>
      <c r="J1519" s="1795"/>
    </row>
    <row r="1520" spans="1:10">
      <c r="A1520" s="1929"/>
      <c r="B1520" s="1930"/>
      <c r="C1520" s="1930"/>
      <c r="D1520" s="1930"/>
      <c r="E1520" s="1930"/>
      <c r="F1520" s="1930"/>
      <c r="G1520" s="1930"/>
      <c r="H1520" s="1930"/>
      <c r="I1520" s="1931"/>
      <c r="J1520" s="1795"/>
    </row>
    <row r="1521" spans="1:10" ht="24.75" customHeight="1">
      <c r="A1521" s="1784" t="str">
        <f>'PLANILHA SEM DESON'!B236</f>
        <v>COMP ELE 16</v>
      </c>
      <c r="B1521" s="1940" t="str">
        <f>VLOOKUP(A1521,'PLANILHA SEM DESON'!$B$17:$D$1700,2,FALSE)</f>
        <v>CONECTOR MACHO RJ45 (CM8v)</v>
      </c>
      <c r="C1521" s="1941"/>
      <c r="D1521" s="1941"/>
      <c r="E1521" s="1941"/>
      <c r="F1521" s="1941"/>
      <c r="G1521" s="1941"/>
      <c r="H1521" s="1942"/>
      <c r="I1521" s="1785" t="str">
        <f>VLOOKUP(A1521,'PLANILHA SEM DESON'!$B$17:$D$1700,3,FALSE)</f>
        <v xml:space="preserve">un </v>
      </c>
      <c r="J1521" s="1786">
        <f>I1526</f>
        <v>10.700000000000001</v>
      </c>
    </row>
    <row r="1522" spans="1:10" ht="24">
      <c r="A1522" s="1788" t="s">
        <v>2470</v>
      </c>
      <c r="B1522" s="1789" t="s">
        <v>2471</v>
      </c>
      <c r="C1522" s="1790" t="s">
        <v>2468</v>
      </c>
      <c r="D1522" s="1791" t="s">
        <v>308</v>
      </c>
      <c r="E1522" s="1790" t="s">
        <v>202</v>
      </c>
      <c r="F1522" s="1792" t="s">
        <v>2472</v>
      </c>
      <c r="G1522" s="1790" t="s">
        <v>2473</v>
      </c>
      <c r="H1522" s="1793" t="s">
        <v>2474</v>
      </c>
      <c r="I1522" s="1794" t="s">
        <v>2475</v>
      </c>
      <c r="J1522" s="1795"/>
    </row>
    <row r="1523" spans="1:10">
      <c r="A1523" s="1797"/>
      <c r="B1523" s="1798"/>
      <c r="C1523" s="1798">
        <v>88264</v>
      </c>
      <c r="D1523" s="1799" t="s">
        <v>94</v>
      </c>
      <c r="E1523" s="1800" t="s">
        <v>57</v>
      </c>
      <c r="F1523" s="1811">
        <v>0.2</v>
      </c>
      <c r="G1523" s="1806">
        <v>25.54</v>
      </c>
      <c r="H1523" s="1802">
        <f>IF(E1523="H",G1523,TRUNC(G1523*(1-$K$7),2))</f>
        <v>25.54</v>
      </c>
      <c r="I1523" s="1803">
        <f t="shared" ref="I1523:I1525" si="212">TRUNC(H1523*F1523,2)</f>
        <v>5.0999999999999996</v>
      </c>
      <c r="J1523" s="1795"/>
    </row>
    <row r="1524" spans="1:10" ht="24">
      <c r="A1524" s="1797"/>
      <c r="B1524" s="1798"/>
      <c r="C1524" s="1798">
        <v>88247</v>
      </c>
      <c r="D1524" s="1799" t="s">
        <v>93</v>
      </c>
      <c r="E1524" s="1800" t="s">
        <v>57</v>
      </c>
      <c r="F1524" s="1811">
        <v>0.2</v>
      </c>
      <c r="G1524" s="1806">
        <v>21</v>
      </c>
      <c r="H1524" s="1802">
        <f>IF(E1524="H",G1524,TRUNC(G1524*(1-$K$7),2))</f>
        <v>21</v>
      </c>
      <c r="I1524" s="1803">
        <f t="shared" si="212"/>
        <v>4.2</v>
      </c>
      <c r="J1524" s="1795"/>
    </row>
    <row r="1525" spans="1:10">
      <c r="A1525" s="1797"/>
      <c r="B1525" s="1798"/>
      <c r="C1525" s="1798" t="s">
        <v>65</v>
      </c>
      <c r="D1525" s="1799" t="s">
        <v>2429</v>
      </c>
      <c r="E1525" s="1800" t="s">
        <v>55</v>
      </c>
      <c r="F1525" s="1811">
        <v>1</v>
      </c>
      <c r="G1525" s="1806">
        <v>1.41</v>
      </c>
      <c r="H1525" s="1802">
        <f>IF(E1525="H",G1525,TRUNC(G1525*(1-$K$7),2))</f>
        <v>1.4</v>
      </c>
      <c r="I1525" s="1803">
        <f t="shared" si="212"/>
        <v>1.4</v>
      </c>
      <c r="J1525" s="1795"/>
    </row>
    <row r="1526" spans="1:10">
      <c r="A1526" s="1943" t="s">
        <v>2477</v>
      </c>
      <c r="B1526" s="1944"/>
      <c r="C1526" s="1944"/>
      <c r="D1526" s="1944"/>
      <c r="E1526" s="1944"/>
      <c r="F1526" s="1944"/>
      <c r="G1526" s="1944"/>
      <c r="H1526" s="1945"/>
      <c r="I1526" s="1805">
        <f>SUM(I1523:I1525)</f>
        <v>10.700000000000001</v>
      </c>
      <c r="J1526" s="1795"/>
    </row>
    <row r="1527" spans="1:10">
      <c r="A1527" s="1929"/>
      <c r="B1527" s="1930"/>
      <c r="C1527" s="1930"/>
      <c r="D1527" s="1930"/>
      <c r="E1527" s="1930"/>
      <c r="F1527" s="1930"/>
      <c r="G1527" s="1930"/>
      <c r="H1527" s="1930"/>
      <c r="I1527" s="1931"/>
      <c r="J1527" s="1795"/>
    </row>
    <row r="1528" spans="1:10" ht="24.75" customHeight="1">
      <c r="A1528" s="1784" t="str">
        <f>'PLANILHA SEM DESON'!B237</f>
        <v>COMP ELE 33</v>
      </c>
      <c r="B1528" s="1940" t="str">
        <f>VLOOKUP(A1528,'PLANILHA SEM DESON'!$B$17:$D$1700,2,FALSE)</f>
        <v>FORNECIMENTO E INSTALAÇÃO DE CENTRAL TELEFÔNICA PABX</v>
      </c>
      <c r="C1528" s="1941"/>
      <c r="D1528" s="1941"/>
      <c r="E1528" s="1941"/>
      <c r="F1528" s="1941"/>
      <c r="G1528" s="1941"/>
      <c r="H1528" s="1942"/>
      <c r="I1528" s="1785" t="str">
        <f>VLOOKUP(A1528,'PLANILHA SEM DESON'!$B$17:$D$1700,3,FALSE)</f>
        <v xml:space="preserve">un </v>
      </c>
      <c r="J1528" s="1786">
        <f>I1534</f>
        <v>6070.43</v>
      </c>
    </row>
    <row r="1529" spans="1:10" ht="24">
      <c r="A1529" s="1788" t="s">
        <v>2470</v>
      </c>
      <c r="B1529" s="1789" t="s">
        <v>2471</v>
      </c>
      <c r="C1529" s="1790" t="s">
        <v>2468</v>
      </c>
      <c r="D1529" s="1791" t="s">
        <v>308</v>
      </c>
      <c r="E1529" s="1790" t="s">
        <v>202</v>
      </c>
      <c r="F1529" s="1792" t="s">
        <v>2472</v>
      </c>
      <c r="G1529" s="1790" t="s">
        <v>2473</v>
      </c>
      <c r="H1529" s="1793" t="s">
        <v>2474</v>
      </c>
      <c r="I1529" s="1794" t="s">
        <v>2475</v>
      </c>
      <c r="J1529" s="1795"/>
    </row>
    <row r="1530" spans="1:10">
      <c r="A1530" s="1797"/>
      <c r="B1530" s="1798"/>
      <c r="C1530" s="1798">
        <v>88266</v>
      </c>
      <c r="D1530" s="1799" t="s">
        <v>2149</v>
      </c>
      <c r="E1530" s="1800" t="s">
        <v>57</v>
      </c>
      <c r="F1530" s="1811">
        <v>38.267000000000003</v>
      </c>
      <c r="G1530" s="1806">
        <v>31.55</v>
      </c>
      <c r="H1530" s="1802">
        <f>IF(E1530="H",G1530,TRUNC(G1530*(1-$K$7),2))</f>
        <v>31.55</v>
      </c>
      <c r="I1530" s="1803">
        <f t="shared" ref="I1530:I1533" si="213">TRUNC(H1530*F1530,2)</f>
        <v>1207.32</v>
      </c>
      <c r="J1530" s="1795"/>
    </row>
    <row r="1531" spans="1:10">
      <c r="A1531" s="1797"/>
      <c r="B1531" s="1798"/>
      <c r="C1531" s="1798">
        <v>88264</v>
      </c>
      <c r="D1531" s="1799" t="s">
        <v>94</v>
      </c>
      <c r="E1531" s="1800" t="s">
        <v>57</v>
      </c>
      <c r="F1531" s="1811">
        <v>23.385000000000002</v>
      </c>
      <c r="G1531" s="1806">
        <v>25.54</v>
      </c>
      <c r="H1531" s="1802">
        <f>IF(E1531="H",G1531,TRUNC(G1531*(1-$K$7),2))</f>
        <v>25.54</v>
      </c>
      <c r="I1531" s="1803">
        <f t="shared" si="213"/>
        <v>597.25</v>
      </c>
      <c r="J1531" s="1795"/>
    </row>
    <row r="1532" spans="1:10" ht="24">
      <c r="A1532" s="1797"/>
      <c r="B1532" s="1798"/>
      <c r="C1532" s="1798">
        <v>88247</v>
      </c>
      <c r="D1532" s="1799" t="s">
        <v>93</v>
      </c>
      <c r="E1532" s="1800" t="s">
        <v>57</v>
      </c>
      <c r="F1532" s="1811">
        <v>44.643999999999998</v>
      </c>
      <c r="G1532" s="1806">
        <v>21</v>
      </c>
      <c r="H1532" s="1802">
        <f>IF(E1532="H",G1532,TRUNC(G1532*(1-$K$7),2))</f>
        <v>21</v>
      </c>
      <c r="I1532" s="1803">
        <f t="shared" si="213"/>
        <v>937.52</v>
      </c>
      <c r="J1532" s="1795"/>
    </row>
    <row r="1533" spans="1:10">
      <c r="A1533" s="1797"/>
      <c r="B1533" s="1798"/>
      <c r="C1533" s="1798" t="s">
        <v>65</v>
      </c>
      <c r="D1533" s="1799" t="s">
        <v>2206</v>
      </c>
      <c r="E1533" s="1800" t="s">
        <v>55</v>
      </c>
      <c r="F1533" s="1811">
        <v>1</v>
      </c>
      <c r="G1533" s="1806">
        <v>3345.41</v>
      </c>
      <c r="H1533" s="1802">
        <f>IF(E1533="H",G1533,TRUNC(G1533*(1-$K$7),2))</f>
        <v>3328.34</v>
      </c>
      <c r="I1533" s="1803">
        <f t="shared" si="213"/>
        <v>3328.34</v>
      </c>
      <c r="J1533" s="1795"/>
    </row>
    <row r="1534" spans="1:10">
      <c r="A1534" s="1943" t="s">
        <v>2477</v>
      </c>
      <c r="B1534" s="1944"/>
      <c r="C1534" s="1944"/>
      <c r="D1534" s="1944"/>
      <c r="E1534" s="1944"/>
      <c r="F1534" s="1944"/>
      <c r="G1534" s="1944"/>
      <c r="H1534" s="1945"/>
      <c r="I1534" s="1805">
        <f>SUM(I1530:I1533)</f>
        <v>6070.43</v>
      </c>
      <c r="J1534" s="1795"/>
    </row>
    <row r="1535" spans="1:10">
      <c r="A1535" s="1929"/>
      <c r="B1535" s="1930"/>
      <c r="C1535" s="1930"/>
      <c r="D1535" s="1930"/>
      <c r="E1535" s="1930"/>
      <c r="F1535" s="1930"/>
      <c r="G1535" s="1930"/>
      <c r="H1535" s="1930"/>
      <c r="I1535" s="1931"/>
      <c r="J1535" s="1795"/>
    </row>
    <row r="1536" spans="1:10">
      <c r="A1536" s="1784">
        <f>'PLANILHA SEM DESON'!B238</f>
        <v>98307</v>
      </c>
      <c r="B1536" s="1940" t="str">
        <f>VLOOKUP(A1536,'PLANILHA SEM DESON'!$B$17:$D$1700,2,FALSE)</f>
        <v>TOMADA DE REDE RJ45 - FORNECIMENTO  E INSTALAÇÃO. AF_11/2019</v>
      </c>
      <c r="C1536" s="1941"/>
      <c r="D1536" s="1941"/>
      <c r="E1536" s="1941"/>
      <c r="F1536" s="1941"/>
      <c r="G1536" s="1941"/>
      <c r="H1536" s="1942"/>
      <c r="I1536" s="1785" t="str">
        <f>VLOOKUP(A1536,'PLANILHA SEM DESON'!$B$17:$D$1700,3,FALSE)</f>
        <v xml:space="preserve">un </v>
      </c>
      <c r="J1536" s="1786">
        <f>I1541</f>
        <v>42.089999999999996</v>
      </c>
    </row>
    <row r="1537" spans="1:10" ht="24">
      <c r="A1537" s="1788" t="s">
        <v>2470</v>
      </c>
      <c r="B1537" s="1789" t="s">
        <v>2471</v>
      </c>
      <c r="C1537" s="1790" t="s">
        <v>2468</v>
      </c>
      <c r="D1537" s="1791" t="s">
        <v>308</v>
      </c>
      <c r="E1537" s="1790" t="s">
        <v>202</v>
      </c>
      <c r="F1537" s="1792" t="s">
        <v>2472</v>
      </c>
      <c r="G1537" s="1790" t="s">
        <v>2473</v>
      </c>
      <c r="H1537" s="1793" t="s">
        <v>2474</v>
      </c>
      <c r="I1537" s="1794" t="s">
        <v>2475</v>
      </c>
      <c r="J1537" s="1795"/>
    </row>
    <row r="1538" spans="1:10" ht="24">
      <c r="A1538" s="1797" t="s">
        <v>2476</v>
      </c>
      <c r="B1538" s="1798" t="s">
        <v>2479</v>
      </c>
      <c r="C1538" s="1798">
        <v>38083</v>
      </c>
      <c r="D1538" s="1799" t="s">
        <v>2721</v>
      </c>
      <c r="E1538" s="1800" t="s">
        <v>2501</v>
      </c>
      <c r="F1538" s="1807">
        <v>1</v>
      </c>
      <c r="G1538" s="1801">
        <v>32.67</v>
      </c>
      <c r="H1538" s="1802">
        <f>IF(E1538="H",G1538,TRUNC(G1538*(1-$K$7),2))</f>
        <v>32.5</v>
      </c>
      <c r="I1538" s="1803">
        <f t="shared" ref="I1538:I1540" si="214">TRUNC(H1538*F1538,2)</f>
        <v>32.5</v>
      </c>
      <c r="J1538" s="1795"/>
    </row>
    <row r="1539" spans="1:10" ht="24">
      <c r="A1539" s="1797" t="s">
        <v>2476</v>
      </c>
      <c r="B1539" s="1798" t="s">
        <v>7</v>
      </c>
      <c r="C1539" s="1798">
        <v>88247</v>
      </c>
      <c r="D1539" s="1799" t="s">
        <v>93</v>
      </c>
      <c r="E1539" s="1800" t="s">
        <v>411</v>
      </c>
      <c r="F1539" s="1807">
        <v>0.20619999999999999</v>
      </c>
      <c r="G1539" s="1801">
        <v>21</v>
      </c>
      <c r="H1539" s="1802">
        <f>IF(E1539="H",G1539,TRUNC(G1539*(1-$K$7),2))</f>
        <v>21</v>
      </c>
      <c r="I1539" s="1803">
        <f t="shared" si="214"/>
        <v>4.33</v>
      </c>
      <c r="J1539" s="1795"/>
    </row>
    <row r="1540" spans="1:10">
      <c r="A1540" s="1797" t="s">
        <v>2476</v>
      </c>
      <c r="B1540" s="1798" t="s">
        <v>7</v>
      </c>
      <c r="C1540" s="1798">
        <v>88264</v>
      </c>
      <c r="D1540" s="1799" t="s">
        <v>94</v>
      </c>
      <c r="E1540" s="1800" t="s">
        <v>411</v>
      </c>
      <c r="F1540" s="1807">
        <v>0.20619999999999999</v>
      </c>
      <c r="G1540" s="1801">
        <v>25.54</v>
      </c>
      <c r="H1540" s="1802">
        <f>IF(E1540="H",G1540,TRUNC(G1540*(1-$K$7),2))</f>
        <v>25.54</v>
      </c>
      <c r="I1540" s="1803">
        <f t="shared" si="214"/>
        <v>5.26</v>
      </c>
      <c r="J1540" s="1795"/>
    </row>
    <row r="1541" spans="1:10">
      <c r="A1541" s="1943" t="s">
        <v>2477</v>
      </c>
      <c r="B1541" s="1944"/>
      <c r="C1541" s="1944"/>
      <c r="D1541" s="1944"/>
      <c r="E1541" s="1944"/>
      <c r="F1541" s="1944"/>
      <c r="G1541" s="1944"/>
      <c r="H1541" s="1945"/>
      <c r="I1541" s="1805">
        <f>SUM(I1538:I1540)</f>
        <v>42.089999999999996</v>
      </c>
      <c r="J1541" s="1795"/>
    </row>
    <row r="1542" spans="1:10">
      <c r="A1542" s="1929"/>
      <c r="B1542" s="1930"/>
      <c r="C1542" s="1930"/>
      <c r="D1542" s="1930"/>
      <c r="E1542" s="1930"/>
      <c r="F1542" s="1930"/>
      <c r="G1542" s="1930"/>
      <c r="H1542" s="1930"/>
      <c r="I1542" s="1931"/>
      <c r="J1542" s="1795"/>
    </row>
    <row r="1543" spans="1:10" ht="25.5" customHeight="1">
      <c r="A1543" s="1784">
        <f>'PLANILHA SEM DESON'!B239</f>
        <v>95781</v>
      </c>
      <c r="B1543" s="1940" t="str">
        <f>VLOOKUP(A1543,'PLANILHA SEM DESON'!$B$17:$D$1700,2,FALSE)</f>
        <v>CONDULETE DE ALUMÍNIO, TIPO C, PARA ELETRODUTO DE AÇO GALVANIZADO DN 25 MM (1''), APARENTE - FORNECIMENTO E INSTALAÇÃO. AF_11/2016_P</v>
      </c>
      <c r="C1543" s="1941"/>
      <c r="D1543" s="1941"/>
      <c r="E1543" s="1941"/>
      <c r="F1543" s="1941"/>
      <c r="G1543" s="1941"/>
      <c r="H1543" s="1942"/>
      <c r="I1543" s="1785" t="str">
        <f>VLOOKUP(A1543,'PLANILHA SEM DESON'!$B$17:$D$1700,3,FALSE)</f>
        <v xml:space="preserve">un </v>
      </c>
      <c r="J1543" s="1786">
        <f>I1549</f>
        <v>31.59</v>
      </c>
    </row>
    <row r="1544" spans="1:10" ht="24">
      <c r="A1544" s="1788" t="s">
        <v>2470</v>
      </c>
      <c r="B1544" s="1789" t="s">
        <v>2471</v>
      </c>
      <c r="C1544" s="1790" t="s">
        <v>2468</v>
      </c>
      <c r="D1544" s="1791" t="s">
        <v>308</v>
      </c>
      <c r="E1544" s="1790" t="s">
        <v>202</v>
      </c>
      <c r="F1544" s="1792" t="s">
        <v>2472</v>
      </c>
      <c r="G1544" s="1790" t="s">
        <v>2473</v>
      </c>
      <c r="H1544" s="1793" t="s">
        <v>2474</v>
      </c>
      <c r="I1544" s="1794" t="s">
        <v>2475</v>
      </c>
      <c r="J1544" s="1795"/>
    </row>
    <row r="1545" spans="1:10" ht="24">
      <c r="A1545" s="1797" t="s">
        <v>2476</v>
      </c>
      <c r="B1545" s="1798" t="s">
        <v>2479</v>
      </c>
      <c r="C1545" s="1798">
        <v>2560</v>
      </c>
      <c r="D1545" s="1799" t="s">
        <v>2722</v>
      </c>
      <c r="E1545" s="1800" t="s">
        <v>2501</v>
      </c>
      <c r="F1545" s="1807">
        <v>1</v>
      </c>
      <c r="G1545" s="1801">
        <v>16.3</v>
      </c>
      <c r="H1545" s="1802">
        <f>IF(E1545="H",G1545,TRUNC(G1545*(1-$K$7),2))</f>
        <v>16.21</v>
      </c>
      <c r="I1545" s="1803">
        <f t="shared" ref="I1545:I1548" si="215">TRUNC(H1545*F1545,2)</f>
        <v>16.21</v>
      </c>
      <c r="J1545" s="1795"/>
    </row>
    <row r="1546" spans="1:10" ht="36">
      <c r="A1546" s="1797" t="s">
        <v>2476</v>
      </c>
      <c r="B1546" s="1798" t="s">
        <v>2479</v>
      </c>
      <c r="C1546" s="1798">
        <v>11950</v>
      </c>
      <c r="D1546" s="1799" t="s">
        <v>2168</v>
      </c>
      <c r="E1546" s="1800" t="s">
        <v>2501</v>
      </c>
      <c r="F1546" s="1807">
        <v>2</v>
      </c>
      <c r="G1546" s="1801">
        <v>0.2</v>
      </c>
      <c r="H1546" s="1802">
        <f>IF(E1546="H",G1546,TRUNC(G1546*(1-$K$7),2))</f>
        <v>0.19</v>
      </c>
      <c r="I1546" s="1803">
        <f t="shared" si="215"/>
        <v>0.38</v>
      </c>
      <c r="J1546" s="1795"/>
    </row>
    <row r="1547" spans="1:10" ht="24">
      <c r="A1547" s="1797" t="s">
        <v>2476</v>
      </c>
      <c r="B1547" s="1798" t="s">
        <v>7</v>
      </c>
      <c r="C1547" s="1798">
        <v>88247</v>
      </c>
      <c r="D1547" s="1799" t="s">
        <v>93</v>
      </c>
      <c r="E1547" s="1800" t="s">
        <v>411</v>
      </c>
      <c r="F1547" s="1807">
        <v>0.3226</v>
      </c>
      <c r="G1547" s="1801">
        <v>21</v>
      </c>
      <c r="H1547" s="1802">
        <f>IF(E1547="H",G1547,TRUNC(G1547*(1-$K$7),2))</f>
        <v>21</v>
      </c>
      <c r="I1547" s="1803">
        <f t="shared" si="215"/>
        <v>6.77</v>
      </c>
      <c r="J1547" s="1795"/>
    </row>
    <row r="1548" spans="1:10">
      <c r="A1548" s="1797" t="s">
        <v>2476</v>
      </c>
      <c r="B1548" s="1798" t="s">
        <v>7</v>
      </c>
      <c r="C1548" s="1798">
        <v>88264</v>
      </c>
      <c r="D1548" s="1799" t="s">
        <v>94</v>
      </c>
      <c r="E1548" s="1800" t="s">
        <v>411</v>
      </c>
      <c r="F1548" s="1807">
        <v>0.3226</v>
      </c>
      <c r="G1548" s="1801">
        <v>25.54</v>
      </c>
      <c r="H1548" s="1802">
        <f>IF(E1548="H",G1548,TRUNC(G1548*(1-$K$7),2))</f>
        <v>25.54</v>
      </c>
      <c r="I1548" s="1803">
        <f t="shared" si="215"/>
        <v>8.23</v>
      </c>
      <c r="J1548" s="1795"/>
    </row>
    <row r="1549" spans="1:10">
      <c r="A1549" s="1943" t="s">
        <v>2477</v>
      </c>
      <c r="B1549" s="1944"/>
      <c r="C1549" s="1944"/>
      <c r="D1549" s="1944"/>
      <c r="E1549" s="1944"/>
      <c r="F1549" s="1944"/>
      <c r="G1549" s="1944"/>
      <c r="H1549" s="1945"/>
      <c r="I1549" s="1805">
        <f>SUM(I1545:I1548)</f>
        <v>31.59</v>
      </c>
      <c r="J1549" s="1795"/>
    </row>
    <row r="1550" spans="1:10">
      <c r="A1550" s="1929"/>
      <c r="B1550" s="1930"/>
      <c r="C1550" s="1930"/>
      <c r="D1550" s="1930"/>
      <c r="E1550" s="1930"/>
      <c r="F1550" s="1930"/>
      <c r="G1550" s="1930"/>
      <c r="H1550" s="1930"/>
      <c r="I1550" s="1931"/>
      <c r="J1550" s="1795"/>
    </row>
    <row r="1551" spans="1:10" ht="24.75" customHeight="1">
      <c r="A1551" s="1784" t="str">
        <f>'PLANILHA SEM DESON'!B240</f>
        <v>COMP ELE 06</v>
      </c>
      <c r="B1551" s="1940" t="str">
        <f>VLOOKUP(A1551,'PLANILHA SEM DESON'!$B$17:$D$1700,2,FALSE)</f>
        <v>PLACA 2x4" - BRANCA 1 MÓDULO - RJ45</v>
      </c>
      <c r="C1551" s="1941"/>
      <c r="D1551" s="1941"/>
      <c r="E1551" s="1941"/>
      <c r="F1551" s="1941"/>
      <c r="G1551" s="1941"/>
      <c r="H1551" s="1942"/>
      <c r="I1551" s="1785" t="str">
        <f>VLOOKUP(A1551,'PLANILHA SEM DESON'!$B$17:$D$1700,3,FALSE)</f>
        <v>m</v>
      </c>
      <c r="J1551" s="1786">
        <f>I1556</f>
        <v>51.230000000000004</v>
      </c>
    </row>
    <row r="1552" spans="1:10" ht="24">
      <c r="A1552" s="1788" t="s">
        <v>2470</v>
      </c>
      <c r="B1552" s="1789" t="s">
        <v>2471</v>
      </c>
      <c r="C1552" s="1790" t="s">
        <v>2468</v>
      </c>
      <c r="D1552" s="1791" t="s">
        <v>308</v>
      </c>
      <c r="E1552" s="1790" t="s">
        <v>202</v>
      </c>
      <c r="F1552" s="1792" t="s">
        <v>2472</v>
      </c>
      <c r="G1552" s="1790" t="s">
        <v>2473</v>
      </c>
      <c r="H1552" s="1793" t="s">
        <v>2474</v>
      </c>
      <c r="I1552" s="1794" t="s">
        <v>2475</v>
      </c>
      <c r="J1552" s="1795"/>
    </row>
    <row r="1553" spans="1:10">
      <c r="A1553" s="1797"/>
      <c r="B1553" s="1798"/>
      <c r="C1553" s="1798">
        <v>88264</v>
      </c>
      <c r="D1553" s="1799" t="s">
        <v>94</v>
      </c>
      <c r="E1553" s="1800" t="s">
        <v>57</v>
      </c>
      <c r="F1553" s="1811">
        <v>0.08</v>
      </c>
      <c r="G1553" s="1806">
        <v>25.54</v>
      </c>
      <c r="H1553" s="1802">
        <f>IF(E1553="H",G1553,TRUNC(G1553*(1-$K$7),2))</f>
        <v>25.54</v>
      </c>
      <c r="I1553" s="1803">
        <f t="shared" ref="I1553:I1555" si="216">TRUNC(H1553*F1553,2)</f>
        <v>2.04</v>
      </c>
      <c r="J1553" s="1795"/>
    </row>
    <row r="1554" spans="1:10" ht="24">
      <c r="A1554" s="1797"/>
      <c r="B1554" s="1798"/>
      <c r="C1554" s="1798">
        <v>88247</v>
      </c>
      <c r="D1554" s="1799" t="s">
        <v>93</v>
      </c>
      <c r="E1554" s="1800" t="s">
        <v>57</v>
      </c>
      <c r="F1554" s="1811">
        <v>1</v>
      </c>
      <c r="G1554" s="1806">
        <v>21</v>
      </c>
      <c r="H1554" s="1802">
        <f>IF(E1554="H",G1554,TRUNC(G1554*(1-$K$7),2))</f>
        <v>21</v>
      </c>
      <c r="I1554" s="1803">
        <f t="shared" si="216"/>
        <v>21</v>
      </c>
      <c r="J1554" s="1795"/>
    </row>
    <row r="1555" spans="1:10">
      <c r="A1555" s="1797"/>
      <c r="B1555" s="1798"/>
      <c r="C1555" s="1798" t="s">
        <v>65</v>
      </c>
      <c r="D1555" s="1799" t="s">
        <v>509</v>
      </c>
      <c r="E1555" s="1800" t="s">
        <v>55</v>
      </c>
      <c r="F1555" s="1811">
        <v>1</v>
      </c>
      <c r="G1555" s="1806">
        <v>28.34</v>
      </c>
      <c r="H1555" s="1802">
        <f>IF(E1555="H",G1555,TRUNC(G1555*(1-$K$7),2))</f>
        <v>28.19</v>
      </c>
      <c r="I1555" s="1803">
        <f t="shared" si="216"/>
        <v>28.19</v>
      </c>
      <c r="J1555" s="1795"/>
    </row>
    <row r="1556" spans="1:10">
      <c r="A1556" s="1943" t="s">
        <v>2477</v>
      </c>
      <c r="B1556" s="1944"/>
      <c r="C1556" s="1944"/>
      <c r="D1556" s="1944"/>
      <c r="E1556" s="1944"/>
      <c r="F1556" s="1944"/>
      <c r="G1556" s="1944"/>
      <c r="H1556" s="1945"/>
      <c r="I1556" s="1805">
        <f>SUM(I1553:I1555)</f>
        <v>51.230000000000004</v>
      </c>
      <c r="J1556" s="1795"/>
    </row>
    <row r="1557" spans="1:10">
      <c r="A1557" s="1929"/>
      <c r="B1557" s="1930"/>
      <c r="C1557" s="1930"/>
      <c r="D1557" s="1930"/>
      <c r="E1557" s="1930"/>
      <c r="F1557" s="1930"/>
      <c r="G1557" s="1930"/>
      <c r="H1557" s="1930"/>
      <c r="I1557" s="1931"/>
      <c r="J1557" s="1795"/>
    </row>
    <row r="1558" spans="1:10" ht="26.25" customHeight="1">
      <c r="A1558" s="1784" t="str">
        <f>'PLANILHA SEM DESON'!B241</f>
        <v>COMP ELE 07</v>
      </c>
      <c r="B1558" s="1940" t="str">
        <f>VLOOKUP(A1558,'PLANILHA SEM DESON'!$B$17:$D$1700,2,FALSE)</f>
        <v>PLACA 2x4" - BRANCA 2 MÓDULOS - RJ45</v>
      </c>
      <c r="C1558" s="1941"/>
      <c r="D1558" s="1941"/>
      <c r="E1558" s="1941"/>
      <c r="F1558" s="1941"/>
      <c r="G1558" s="1941"/>
      <c r="H1558" s="1942"/>
      <c r="I1558" s="1785" t="str">
        <f>VLOOKUP(A1558,'PLANILHA SEM DESON'!$B$17:$D$1700,3,FALSE)</f>
        <v>m</v>
      </c>
      <c r="J1558" s="1786">
        <f>I1563</f>
        <v>54.75</v>
      </c>
    </row>
    <row r="1559" spans="1:10" ht="24">
      <c r="A1559" s="1788" t="s">
        <v>2470</v>
      </c>
      <c r="B1559" s="1789" t="s">
        <v>2471</v>
      </c>
      <c r="C1559" s="1790" t="s">
        <v>2468</v>
      </c>
      <c r="D1559" s="1791" t="s">
        <v>308</v>
      </c>
      <c r="E1559" s="1790" t="s">
        <v>202</v>
      </c>
      <c r="F1559" s="1792" t="s">
        <v>2472</v>
      </c>
      <c r="G1559" s="1790" t="s">
        <v>2473</v>
      </c>
      <c r="H1559" s="1793" t="s">
        <v>2474</v>
      </c>
      <c r="I1559" s="1794" t="s">
        <v>2475</v>
      </c>
      <c r="J1559" s="1795"/>
    </row>
    <row r="1560" spans="1:10">
      <c r="A1560" s="1797"/>
      <c r="B1560" s="1798"/>
      <c r="C1560" s="1798">
        <v>88264</v>
      </c>
      <c r="D1560" s="1799" t="s">
        <v>94</v>
      </c>
      <c r="E1560" s="1800" t="s">
        <v>57</v>
      </c>
      <c r="F1560" s="1811">
        <v>0.08</v>
      </c>
      <c r="G1560" s="1806">
        <v>25.54</v>
      </c>
      <c r="H1560" s="1802">
        <f>IF(E1560="H",G1560,TRUNC(G1560*(1-$K$7),2))</f>
        <v>25.54</v>
      </c>
      <c r="I1560" s="1803">
        <f t="shared" ref="I1560:I1562" si="217">TRUNC(H1560*F1560,2)</f>
        <v>2.04</v>
      </c>
      <c r="J1560" s="1795"/>
    </row>
    <row r="1561" spans="1:10" ht="24">
      <c r="A1561" s="1797"/>
      <c r="B1561" s="1798"/>
      <c r="C1561" s="1798">
        <v>88247</v>
      </c>
      <c r="D1561" s="1799" t="s">
        <v>93</v>
      </c>
      <c r="E1561" s="1800" t="s">
        <v>57</v>
      </c>
      <c r="F1561" s="1811">
        <v>1</v>
      </c>
      <c r="G1561" s="1806">
        <v>21</v>
      </c>
      <c r="H1561" s="1802">
        <f>IF(E1561="H",G1561,TRUNC(G1561*(1-$K$7),2))</f>
        <v>21</v>
      </c>
      <c r="I1561" s="1803">
        <f t="shared" si="217"/>
        <v>21</v>
      </c>
      <c r="J1561" s="1795"/>
    </row>
    <row r="1562" spans="1:10">
      <c r="A1562" s="1797"/>
      <c r="B1562" s="1798"/>
      <c r="C1562" s="1798" t="s">
        <v>65</v>
      </c>
      <c r="D1562" s="1799" t="s">
        <v>512</v>
      </c>
      <c r="E1562" s="1800" t="s">
        <v>55</v>
      </c>
      <c r="F1562" s="1811">
        <v>1</v>
      </c>
      <c r="G1562" s="1806">
        <v>31.88</v>
      </c>
      <c r="H1562" s="1802">
        <f>IF(E1562="H",G1562,TRUNC(G1562*(1-$K$7),2))</f>
        <v>31.71</v>
      </c>
      <c r="I1562" s="1803">
        <f t="shared" si="217"/>
        <v>31.71</v>
      </c>
      <c r="J1562" s="1795"/>
    </row>
    <row r="1563" spans="1:10">
      <c r="A1563" s="1943" t="s">
        <v>2477</v>
      </c>
      <c r="B1563" s="1944"/>
      <c r="C1563" s="1944"/>
      <c r="D1563" s="1944"/>
      <c r="E1563" s="1944"/>
      <c r="F1563" s="1944"/>
      <c r="G1563" s="1944"/>
      <c r="H1563" s="1945"/>
      <c r="I1563" s="1805">
        <f>SUM(I1560:I1562)</f>
        <v>54.75</v>
      </c>
      <c r="J1563" s="1795"/>
    </row>
    <row r="1564" spans="1:10">
      <c r="A1564" s="1929"/>
      <c r="B1564" s="1930"/>
      <c r="C1564" s="1930"/>
      <c r="D1564" s="1930"/>
      <c r="E1564" s="1930"/>
      <c r="F1564" s="1930"/>
      <c r="G1564" s="1930"/>
      <c r="H1564" s="1930"/>
      <c r="I1564" s="1931"/>
      <c r="J1564" s="1795"/>
    </row>
    <row r="1565" spans="1:10" ht="24.75" customHeight="1">
      <c r="A1565" s="1784">
        <f>'PLANILHA SEM DESON'!B244</f>
        <v>91863</v>
      </c>
      <c r="B1565" s="1940" t="str">
        <f>VLOOKUP(A1565,'PLANILHA SEM DESON'!$B$17:$D$1700,2,FALSE)</f>
        <v>ELETRODUTO RÍGIDO ROSCÁVEL, PVC, DN 25 MM (3/4"), PARA CIRCUITOS TERMINAIS, INSTALADO EM FORRO - FORNECIMENTO E INSTALAÇÃO. AF_12/2015</v>
      </c>
      <c r="C1565" s="1941"/>
      <c r="D1565" s="1941"/>
      <c r="E1565" s="1941"/>
      <c r="F1565" s="1941"/>
      <c r="G1565" s="1941"/>
      <c r="H1565" s="1942"/>
      <c r="I1565" s="1785" t="str">
        <f>VLOOKUP(A1565,'PLANILHA SEM DESON'!$B$17:$D$1700,3,FALSE)</f>
        <v xml:space="preserve">un </v>
      </c>
      <c r="J1565" s="1786">
        <f>I1571</f>
        <v>12.04</v>
      </c>
    </row>
    <row r="1566" spans="1:10" ht="24">
      <c r="A1566" s="1788" t="s">
        <v>2470</v>
      </c>
      <c r="B1566" s="1789" t="s">
        <v>2471</v>
      </c>
      <c r="C1566" s="1790" t="s">
        <v>2468</v>
      </c>
      <c r="D1566" s="1791" t="s">
        <v>308</v>
      </c>
      <c r="E1566" s="1790" t="s">
        <v>202</v>
      </c>
      <c r="F1566" s="1792" t="s">
        <v>2472</v>
      </c>
      <c r="G1566" s="1790" t="s">
        <v>2473</v>
      </c>
      <c r="H1566" s="1793" t="s">
        <v>2474</v>
      </c>
      <c r="I1566" s="1794" t="s">
        <v>2475</v>
      </c>
      <c r="J1566" s="1795"/>
    </row>
    <row r="1567" spans="1:10" ht="24">
      <c r="A1567" s="1797" t="s">
        <v>2476</v>
      </c>
      <c r="B1567" s="1798" t="s">
        <v>2479</v>
      </c>
      <c r="C1567" s="1798">
        <v>2674</v>
      </c>
      <c r="D1567" s="1799" t="s">
        <v>2723</v>
      </c>
      <c r="E1567" s="1800" t="s">
        <v>160</v>
      </c>
      <c r="F1567" s="1807">
        <v>1.0169999999999999</v>
      </c>
      <c r="G1567" s="1801">
        <v>4.84</v>
      </c>
      <c r="H1567" s="1802">
        <f>IF(E1567="H",G1567,TRUNC(G1567*(1-$K$7),2))</f>
        <v>4.8099999999999996</v>
      </c>
      <c r="I1567" s="1803">
        <f t="shared" ref="I1567:I1570" si="218">TRUNC(H1567*F1567,2)</f>
        <v>4.8899999999999997</v>
      </c>
      <c r="J1567" s="1795"/>
    </row>
    <row r="1568" spans="1:10" ht="24">
      <c r="A1568" s="1797" t="s">
        <v>2476</v>
      </c>
      <c r="B1568" s="1798" t="s">
        <v>7</v>
      </c>
      <c r="C1568" s="1798">
        <v>88247</v>
      </c>
      <c r="D1568" s="1799" t="s">
        <v>93</v>
      </c>
      <c r="E1568" s="1800" t="s">
        <v>411</v>
      </c>
      <c r="F1568" s="1807">
        <v>8.2000000000000003E-2</v>
      </c>
      <c r="G1568" s="1801">
        <v>21</v>
      </c>
      <c r="H1568" s="1802">
        <f>IF(E1568="H",G1568,TRUNC(G1568*(1-$K$7),2))</f>
        <v>21</v>
      </c>
      <c r="I1568" s="1803">
        <f t="shared" si="218"/>
        <v>1.72</v>
      </c>
      <c r="J1568" s="1795"/>
    </row>
    <row r="1569" spans="1:10">
      <c r="A1569" s="1797" t="s">
        <v>2476</v>
      </c>
      <c r="B1569" s="1798" t="s">
        <v>7</v>
      </c>
      <c r="C1569" s="1798">
        <v>88264</v>
      </c>
      <c r="D1569" s="1799" t="s">
        <v>94</v>
      </c>
      <c r="E1569" s="1800" t="s">
        <v>411</v>
      </c>
      <c r="F1569" s="1807">
        <v>8.2000000000000003E-2</v>
      </c>
      <c r="G1569" s="1801">
        <v>25.54</v>
      </c>
      <c r="H1569" s="1802">
        <f>IF(E1569="H",G1569,TRUNC(G1569*(1-$K$7),2))</f>
        <v>25.54</v>
      </c>
      <c r="I1569" s="1803">
        <f t="shared" si="218"/>
        <v>2.09</v>
      </c>
      <c r="J1569" s="1795"/>
    </row>
    <row r="1570" spans="1:10" ht="60">
      <c r="A1570" s="1797" t="s">
        <v>2476</v>
      </c>
      <c r="B1570" s="1798" t="s">
        <v>7</v>
      </c>
      <c r="C1570" s="1798">
        <v>91170</v>
      </c>
      <c r="D1570" s="1799" t="s">
        <v>2531</v>
      </c>
      <c r="E1570" s="1800" t="s">
        <v>160</v>
      </c>
      <c r="F1570" s="1807">
        <v>1</v>
      </c>
      <c r="G1570" s="1801">
        <v>3.36</v>
      </c>
      <c r="H1570" s="1802">
        <f>IF(E1570="H",G1570,TRUNC(G1570*(1-$K$7),2))</f>
        <v>3.34</v>
      </c>
      <c r="I1570" s="1803">
        <f t="shared" si="218"/>
        <v>3.34</v>
      </c>
      <c r="J1570" s="1795"/>
    </row>
    <row r="1571" spans="1:10">
      <c r="A1571" s="1943" t="s">
        <v>2477</v>
      </c>
      <c r="B1571" s="1944"/>
      <c r="C1571" s="1944"/>
      <c r="D1571" s="1944"/>
      <c r="E1571" s="1944"/>
      <c r="F1571" s="1944"/>
      <c r="G1571" s="1944"/>
      <c r="H1571" s="1945"/>
      <c r="I1571" s="1805">
        <f>SUM(I1567:I1570)</f>
        <v>12.04</v>
      </c>
      <c r="J1571" s="1795"/>
    </row>
    <row r="1572" spans="1:10">
      <c r="A1572" s="1929"/>
      <c r="B1572" s="1930"/>
      <c r="C1572" s="1930"/>
      <c r="D1572" s="1930"/>
      <c r="E1572" s="1930"/>
      <c r="F1572" s="1930"/>
      <c r="G1572" s="1930"/>
      <c r="H1572" s="1930"/>
      <c r="I1572" s="1931"/>
      <c r="J1572" s="1795"/>
    </row>
    <row r="1573" spans="1:10" ht="24" customHeight="1">
      <c r="A1573" s="1784">
        <f>'PLANILHA SEM DESON'!B245</f>
        <v>91841</v>
      </c>
      <c r="B1573" s="1940" t="str">
        <f>VLOOKUP(A1573,'PLANILHA SEM DESON'!$B$17:$D$1700,2,FALSE)</f>
        <v>ELETRODUTO FLEXÍVEL LISO, PEAD, DN 40 MM (1 1/4"), PARA CIRCUITOS TERMINAIS, INSTALADO EM FORRO - FORNECIMENTO E INSTALAÇÃO. AF_12/2015</v>
      </c>
      <c r="C1573" s="1941"/>
      <c r="D1573" s="1941"/>
      <c r="E1573" s="1941"/>
      <c r="F1573" s="1941"/>
      <c r="G1573" s="1941"/>
      <c r="H1573" s="1942"/>
      <c r="I1573" s="1785" t="str">
        <f>VLOOKUP(A1573,'PLANILHA SEM DESON'!$B$17:$D$1700,3,FALSE)</f>
        <v xml:space="preserve">un </v>
      </c>
      <c r="J1573" s="1786">
        <f>I1579</f>
        <v>13.24</v>
      </c>
    </row>
    <row r="1574" spans="1:10" ht="24">
      <c r="A1574" s="1788" t="s">
        <v>2470</v>
      </c>
      <c r="B1574" s="1789" t="s">
        <v>2471</v>
      </c>
      <c r="C1574" s="1790" t="s">
        <v>2468</v>
      </c>
      <c r="D1574" s="1791" t="s">
        <v>308</v>
      </c>
      <c r="E1574" s="1790" t="s">
        <v>202</v>
      </c>
      <c r="F1574" s="1792" t="s">
        <v>2472</v>
      </c>
      <c r="G1574" s="1790" t="s">
        <v>2473</v>
      </c>
      <c r="H1574" s="1793" t="s">
        <v>2474</v>
      </c>
      <c r="I1574" s="1794" t="s">
        <v>2475</v>
      </c>
      <c r="J1574" s="1795"/>
    </row>
    <row r="1575" spans="1:10" ht="24">
      <c r="A1575" s="1797" t="s">
        <v>2476</v>
      </c>
      <c r="B1575" s="1798" t="s">
        <v>2479</v>
      </c>
      <c r="C1575" s="1798">
        <v>40402</v>
      </c>
      <c r="D1575" s="1799" t="s">
        <v>2724</v>
      </c>
      <c r="E1575" s="1800" t="s">
        <v>160</v>
      </c>
      <c r="F1575" s="1807">
        <v>1.1000000000000001</v>
      </c>
      <c r="G1575" s="1801">
        <v>4.26</v>
      </c>
      <c r="H1575" s="1802">
        <f>IF(E1575="H",G1575,TRUNC(G1575*(1-$K$7),2))</f>
        <v>4.2300000000000004</v>
      </c>
      <c r="I1575" s="1803">
        <f t="shared" ref="I1575:I1578" si="219">TRUNC(H1575*F1575,2)</f>
        <v>4.6500000000000004</v>
      </c>
      <c r="J1575" s="1795"/>
    </row>
    <row r="1576" spans="1:10" ht="24">
      <c r="A1576" s="1797" t="s">
        <v>2476</v>
      </c>
      <c r="B1576" s="1798" t="s">
        <v>7</v>
      </c>
      <c r="C1576" s="1798">
        <v>88247</v>
      </c>
      <c r="D1576" s="1799" t="s">
        <v>93</v>
      </c>
      <c r="E1576" s="1800" t="s">
        <v>411</v>
      </c>
      <c r="F1576" s="1807">
        <v>0.113</v>
      </c>
      <c r="G1576" s="1801">
        <v>21</v>
      </c>
      <c r="H1576" s="1802">
        <f>IF(E1576="H",G1576,TRUNC(G1576*(1-$K$7),2))</f>
        <v>21</v>
      </c>
      <c r="I1576" s="1803">
        <f t="shared" si="219"/>
        <v>2.37</v>
      </c>
      <c r="J1576" s="1795"/>
    </row>
    <row r="1577" spans="1:10">
      <c r="A1577" s="1797" t="s">
        <v>2476</v>
      </c>
      <c r="B1577" s="1798" t="s">
        <v>7</v>
      </c>
      <c r="C1577" s="1798">
        <v>88264</v>
      </c>
      <c r="D1577" s="1799" t="s">
        <v>94</v>
      </c>
      <c r="E1577" s="1800" t="s">
        <v>411</v>
      </c>
      <c r="F1577" s="1807">
        <v>0.113</v>
      </c>
      <c r="G1577" s="1801">
        <v>25.54</v>
      </c>
      <c r="H1577" s="1802">
        <f>IF(E1577="H",G1577,TRUNC(G1577*(1-$K$7),2))</f>
        <v>25.54</v>
      </c>
      <c r="I1577" s="1803">
        <f t="shared" si="219"/>
        <v>2.88</v>
      </c>
      <c r="J1577" s="1795"/>
    </row>
    <row r="1578" spans="1:10" ht="60">
      <c r="A1578" s="1797" t="s">
        <v>2476</v>
      </c>
      <c r="B1578" s="1798" t="s">
        <v>7</v>
      </c>
      <c r="C1578" s="1798">
        <v>91170</v>
      </c>
      <c r="D1578" s="1799" t="s">
        <v>2531</v>
      </c>
      <c r="E1578" s="1800" t="s">
        <v>160</v>
      </c>
      <c r="F1578" s="1807">
        <v>1</v>
      </c>
      <c r="G1578" s="1801">
        <v>3.36</v>
      </c>
      <c r="H1578" s="1802">
        <f>IF(E1578="H",G1578,TRUNC(G1578*(1-$K$7),2))</f>
        <v>3.34</v>
      </c>
      <c r="I1578" s="1803">
        <f t="shared" si="219"/>
        <v>3.34</v>
      </c>
      <c r="J1578" s="1795"/>
    </row>
    <row r="1579" spans="1:10">
      <c r="A1579" s="1943" t="s">
        <v>2477</v>
      </c>
      <c r="B1579" s="1944"/>
      <c r="C1579" s="1944"/>
      <c r="D1579" s="1944"/>
      <c r="E1579" s="1944"/>
      <c r="F1579" s="1944"/>
      <c r="G1579" s="1944"/>
      <c r="H1579" s="1945"/>
      <c r="I1579" s="1805">
        <f>SUM(I1575:I1578)</f>
        <v>13.24</v>
      </c>
      <c r="J1579" s="1795"/>
    </row>
    <row r="1580" spans="1:10">
      <c r="A1580" s="1929"/>
      <c r="B1580" s="1930"/>
      <c r="C1580" s="1930"/>
      <c r="D1580" s="1930"/>
      <c r="E1580" s="1930"/>
      <c r="F1580" s="1930"/>
      <c r="G1580" s="1930"/>
      <c r="H1580" s="1930"/>
      <c r="I1580" s="1931"/>
      <c r="J1580" s="1795"/>
    </row>
    <row r="1581" spans="1:10" ht="25.5" customHeight="1">
      <c r="A1581" s="1784" t="str">
        <f>'PLANILHA SEM DESON'!B247</f>
        <v>COMP ELE 12</v>
      </c>
      <c r="B1581" s="1940" t="str">
        <f>VLOOKUP(A1581,'PLANILHA SEM DESON'!$B$17:$D$1700,2,FALSE)</f>
        <v>PARAFUSO EM AÇO ZINCADO COM ROSCA SOBERBA, CABEÇA CHATA E FENDA PHILLIPS COM BUCHA DE NYLON S6 - FORNECIMENTO E FIXAÇÃO</v>
      </c>
      <c r="C1581" s="1941"/>
      <c r="D1581" s="1941"/>
      <c r="E1581" s="1941"/>
      <c r="F1581" s="1941"/>
      <c r="G1581" s="1941"/>
      <c r="H1581" s="1942"/>
      <c r="I1581" s="1785" t="str">
        <f>VLOOKUP(A1581,'PLANILHA SEM DESON'!$B$17:$D$1700,3,FALSE)</f>
        <v xml:space="preserve">un </v>
      </c>
      <c r="J1581" s="1786">
        <f>I1585</f>
        <v>4.6000000000000005</v>
      </c>
    </row>
    <row r="1582" spans="1:10" ht="24">
      <c r="A1582" s="1788" t="s">
        <v>2470</v>
      </c>
      <c r="B1582" s="1789" t="s">
        <v>2471</v>
      </c>
      <c r="C1582" s="1790" t="s">
        <v>2468</v>
      </c>
      <c r="D1582" s="1791" t="s">
        <v>308</v>
      </c>
      <c r="E1582" s="1790" t="s">
        <v>202</v>
      </c>
      <c r="F1582" s="1792" t="s">
        <v>2472</v>
      </c>
      <c r="G1582" s="1790" t="s">
        <v>2473</v>
      </c>
      <c r="H1582" s="1793" t="s">
        <v>2474</v>
      </c>
      <c r="I1582" s="1794" t="s">
        <v>2475</v>
      </c>
      <c r="J1582" s="1795"/>
    </row>
    <row r="1583" spans="1:10" ht="24">
      <c r="A1583" s="1797"/>
      <c r="B1583" s="1798"/>
      <c r="C1583" s="1798">
        <v>95541</v>
      </c>
      <c r="D1583" s="1799" t="s">
        <v>2197</v>
      </c>
      <c r="E1583" s="1800" t="s">
        <v>55</v>
      </c>
      <c r="F1583" s="1811">
        <v>1</v>
      </c>
      <c r="G1583" s="1806">
        <v>4.4400000000000004</v>
      </c>
      <c r="H1583" s="1802">
        <f>IF(E1583="H",G1583,TRUNC(G1583*(1-$K$7),2))</f>
        <v>4.41</v>
      </c>
      <c r="I1583" s="1803">
        <f t="shared" ref="I1583:I1584" si="220">TRUNC(H1583*F1583,2)</f>
        <v>4.41</v>
      </c>
      <c r="J1583" s="1795"/>
    </row>
    <row r="1584" spans="1:10" ht="36">
      <c r="A1584" s="1797"/>
      <c r="B1584" s="1798"/>
      <c r="C1584" s="1798">
        <v>11950</v>
      </c>
      <c r="D1584" s="1799" t="s">
        <v>2168</v>
      </c>
      <c r="E1584" s="1800" t="s">
        <v>55</v>
      </c>
      <c r="F1584" s="1811">
        <v>1</v>
      </c>
      <c r="G1584" s="1806">
        <v>0.2</v>
      </c>
      <c r="H1584" s="1802">
        <f>IF(E1584="H",G1584,TRUNC(G1584*(1-$K$7),2))</f>
        <v>0.19</v>
      </c>
      <c r="I1584" s="1803">
        <f t="shared" si="220"/>
        <v>0.19</v>
      </c>
      <c r="J1584" s="1795"/>
    </row>
    <row r="1585" spans="1:10">
      <c r="A1585" s="1943" t="s">
        <v>2477</v>
      </c>
      <c r="B1585" s="1944"/>
      <c r="C1585" s="1944"/>
      <c r="D1585" s="1944"/>
      <c r="E1585" s="1944"/>
      <c r="F1585" s="1944"/>
      <c r="G1585" s="1944"/>
      <c r="H1585" s="1945"/>
      <c r="I1585" s="1805">
        <f>SUM(I1583:I1584)</f>
        <v>4.6000000000000005</v>
      </c>
      <c r="J1585" s="1795"/>
    </row>
    <row r="1586" spans="1:10">
      <c r="A1586" s="1929"/>
      <c r="B1586" s="1930"/>
      <c r="C1586" s="1930"/>
      <c r="D1586" s="1930"/>
      <c r="E1586" s="1930"/>
      <c r="F1586" s="1930"/>
      <c r="G1586" s="1930"/>
      <c r="H1586" s="1930"/>
      <c r="I1586" s="1931"/>
      <c r="J1586" s="1795"/>
    </row>
    <row r="1587" spans="1:10" ht="24.75" customHeight="1">
      <c r="A1587" s="1784" t="str">
        <f>'PLANILHA SEM DESON'!B248</f>
        <v>COMP ELE 08</v>
      </c>
      <c r="B1587" s="1940" t="str">
        <f>VLOOKUP(A1587,'PLANILHA SEM DESON'!$B$17:$D$1700,2,FALSE)</f>
        <v>CAIXA PADRÃO 19" - ABERTO 12 U</v>
      </c>
      <c r="C1587" s="1941"/>
      <c r="D1587" s="1941"/>
      <c r="E1587" s="1941"/>
      <c r="F1587" s="1941"/>
      <c r="G1587" s="1941"/>
      <c r="H1587" s="1942"/>
      <c r="I1587" s="1785" t="str">
        <f>VLOOKUP(A1587,'PLANILHA SEM DESON'!$B$17:$D$1700,3,FALSE)</f>
        <v xml:space="preserve">un </v>
      </c>
      <c r="J1587" s="1786">
        <f>I1592</f>
        <v>1074.44</v>
      </c>
    </row>
    <row r="1588" spans="1:10" ht="24">
      <c r="A1588" s="1788" t="s">
        <v>2470</v>
      </c>
      <c r="B1588" s="1789" t="s">
        <v>2471</v>
      </c>
      <c r="C1588" s="1790" t="s">
        <v>2468</v>
      </c>
      <c r="D1588" s="1791" t="s">
        <v>308</v>
      </c>
      <c r="E1588" s="1790" t="s">
        <v>202</v>
      </c>
      <c r="F1588" s="1792" t="s">
        <v>2472</v>
      </c>
      <c r="G1588" s="1790" t="s">
        <v>2473</v>
      </c>
      <c r="H1588" s="1793" t="s">
        <v>2474</v>
      </c>
      <c r="I1588" s="1794" t="s">
        <v>2475</v>
      </c>
      <c r="J1588" s="1795"/>
    </row>
    <row r="1589" spans="1:10">
      <c r="A1589" s="1797"/>
      <c r="B1589" s="1798"/>
      <c r="C1589" s="1798">
        <v>88264</v>
      </c>
      <c r="D1589" s="1799" t="s">
        <v>94</v>
      </c>
      <c r="E1589" s="1800" t="s">
        <v>57</v>
      </c>
      <c r="F1589" s="1811">
        <v>0.5</v>
      </c>
      <c r="G1589" s="1806">
        <v>25.54</v>
      </c>
      <c r="H1589" s="1802">
        <f>IF(E1589="H",G1589,TRUNC(G1589*(1-$K$7),2))</f>
        <v>25.54</v>
      </c>
      <c r="I1589" s="1803">
        <f t="shared" ref="I1589:I1591" si="221">TRUNC(H1589*F1589,2)</f>
        <v>12.77</v>
      </c>
      <c r="J1589" s="1795"/>
    </row>
    <row r="1590" spans="1:10" ht="24">
      <c r="A1590" s="1797"/>
      <c r="B1590" s="1798"/>
      <c r="C1590" s="1798">
        <v>88247</v>
      </c>
      <c r="D1590" s="1799" t="s">
        <v>93</v>
      </c>
      <c r="E1590" s="1800" t="s">
        <v>57</v>
      </c>
      <c r="F1590" s="1811">
        <v>0.5</v>
      </c>
      <c r="G1590" s="1806">
        <v>21</v>
      </c>
      <c r="H1590" s="1802">
        <f>IF(E1590="H",G1590,TRUNC(G1590*(1-$K$7),2))</f>
        <v>21</v>
      </c>
      <c r="I1590" s="1803">
        <f t="shared" si="221"/>
        <v>10.5</v>
      </c>
      <c r="J1590" s="1795"/>
    </row>
    <row r="1591" spans="1:10">
      <c r="A1591" s="1797"/>
      <c r="B1591" s="1798"/>
      <c r="C1591" s="1798" t="s">
        <v>65</v>
      </c>
      <c r="D1591" s="1799" t="s">
        <v>1533</v>
      </c>
      <c r="E1591" s="1800" t="s">
        <v>55</v>
      </c>
      <c r="F1591" s="1811">
        <v>1</v>
      </c>
      <c r="G1591" s="1806">
        <v>1056.56</v>
      </c>
      <c r="H1591" s="1802">
        <f>IF(E1591="H",G1591,TRUNC(G1591*(1-$K$7),2))</f>
        <v>1051.17</v>
      </c>
      <c r="I1591" s="1803">
        <f t="shared" si="221"/>
        <v>1051.17</v>
      </c>
      <c r="J1591" s="1795"/>
    </row>
    <row r="1592" spans="1:10">
      <c r="A1592" s="1943" t="s">
        <v>2477</v>
      </c>
      <c r="B1592" s="1944"/>
      <c r="C1592" s="1944"/>
      <c r="D1592" s="1944"/>
      <c r="E1592" s="1944"/>
      <c r="F1592" s="1944"/>
      <c r="G1592" s="1944"/>
      <c r="H1592" s="1945"/>
      <c r="I1592" s="1805">
        <f>SUM(I1589:I1591)</f>
        <v>1074.44</v>
      </c>
      <c r="J1592" s="1795"/>
    </row>
    <row r="1593" spans="1:10">
      <c r="A1593" s="1929"/>
      <c r="B1593" s="1930"/>
      <c r="C1593" s="1930"/>
      <c r="D1593" s="1930"/>
      <c r="E1593" s="1930"/>
      <c r="F1593" s="1930"/>
      <c r="G1593" s="1930"/>
      <c r="H1593" s="1930"/>
      <c r="I1593" s="1931"/>
      <c r="J1593" s="1795"/>
    </row>
    <row r="1594" spans="1:10" ht="25.5" customHeight="1">
      <c r="A1594" s="1784" t="str">
        <f>'PLANILHA SEM DESON'!B251</f>
        <v>COMP ELE 17</v>
      </c>
      <c r="B1594" s="1940" t="str">
        <f>VLOOKUP(A1594,'PLANILHA SEM DESON'!$B$17:$D$1700,2,FALSE)</f>
        <v>CAIXA DE EQUIPOTENCIALIZAÇÃO EM AÇO,COM 5 TERMINAIS</v>
      </c>
      <c r="C1594" s="1941"/>
      <c r="D1594" s="1941"/>
      <c r="E1594" s="1941"/>
      <c r="F1594" s="1941"/>
      <c r="G1594" s="1941"/>
      <c r="H1594" s="1942"/>
      <c r="I1594" s="1785" t="str">
        <f>VLOOKUP(A1594,'PLANILHA SEM DESON'!$B$17:$D$1700,3,FALSE)</f>
        <v xml:space="preserve">un </v>
      </c>
      <c r="J1594" s="1786">
        <f>I1599</f>
        <v>471.60999999999996</v>
      </c>
    </row>
    <row r="1595" spans="1:10" ht="24">
      <c r="A1595" s="1788" t="s">
        <v>2470</v>
      </c>
      <c r="B1595" s="1789" t="s">
        <v>2471</v>
      </c>
      <c r="C1595" s="1790" t="s">
        <v>2468</v>
      </c>
      <c r="D1595" s="1791" t="s">
        <v>308</v>
      </c>
      <c r="E1595" s="1790" t="s">
        <v>202</v>
      </c>
      <c r="F1595" s="1792" t="s">
        <v>2472</v>
      </c>
      <c r="G1595" s="1790" t="s">
        <v>2473</v>
      </c>
      <c r="H1595" s="1793" t="s">
        <v>2474</v>
      </c>
      <c r="I1595" s="1794" t="s">
        <v>2475</v>
      </c>
      <c r="J1595" s="1795"/>
    </row>
    <row r="1596" spans="1:10">
      <c r="A1596" s="1797"/>
      <c r="B1596" s="1798"/>
      <c r="C1596" s="1798">
        <v>88264</v>
      </c>
      <c r="D1596" s="1799" t="s">
        <v>94</v>
      </c>
      <c r="E1596" s="1800" t="s">
        <v>57</v>
      </c>
      <c r="F1596" s="1811">
        <v>0.3</v>
      </c>
      <c r="G1596" s="1806">
        <v>25.54</v>
      </c>
      <c r="H1596" s="1802">
        <f>IF(E1596="H",G1596,TRUNC(G1596*(1-$K$7),2))</f>
        <v>25.54</v>
      </c>
      <c r="I1596" s="1803">
        <f t="shared" ref="I1596:I1598" si="222">TRUNC(H1596*F1596,2)</f>
        <v>7.66</v>
      </c>
      <c r="J1596" s="1795"/>
    </row>
    <row r="1597" spans="1:10" ht="24">
      <c r="A1597" s="1797"/>
      <c r="B1597" s="1798"/>
      <c r="C1597" s="1798">
        <v>88247</v>
      </c>
      <c r="D1597" s="1799" t="s">
        <v>93</v>
      </c>
      <c r="E1597" s="1800" t="s">
        <v>57</v>
      </c>
      <c r="F1597" s="1811">
        <v>0.3</v>
      </c>
      <c r="G1597" s="1806">
        <v>21</v>
      </c>
      <c r="H1597" s="1802">
        <f>IF(E1597="H",G1597,TRUNC(G1597*(1-$K$7),2))</f>
        <v>21</v>
      </c>
      <c r="I1597" s="1803">
        <f t="shared" si="222"/>
        <v>6.3</v>
      </c>
      <c r="J1597" s="1795"/>
    </row>
    <row r="1598" spans="1:10" ht="36">
      <c r="A1598" s="1797"/>
      <c r="B1598" s="1798"/>
      <c r="C1598" s="1798" t="s">
        <v>65</v>
      </c>
      <c r="D1598" s="1799" t="s">
        <v>1575</v>
      </c>
      <c r="E1598" s="1800" t="s">
        <v>55</v>
      </c>
      <c r="F1598" s="1811">
        <v>1</v>
      </c>
      <c r="G1598" s="1806">
        <v>460</v>
      </c>
      <c r="H1598" s="1802">
        <f>IF(E1598="H",G1598,TRUNC(G1598*(1-$K$7),2))</f>
        <v>457.65</v>
      </c>
      <c r="I1598" s="1803">
        <f t="shared" si="222"/>
        <v>457.65</v>
      </c>
      <c r="J1598" s="1795"/>
    </row>
    <row r="1599" spans="1:10">
      <c r="A1599" s="1943" t="s">
        <v>2477</v>
      </c>
      <c r="B1599" s="1944"/>
      <c r="C1599" s="1944"/>
      <c r="D1599" s="1944"/>
      <c r="E1599" s="1944"/>
      <c r="F1599" s="1944"/>
      <c r="G1599" s="1944"/>
      <c r="H1599" s="1945"/>
      <c r="I1599" s="1805">
        <f>SUM(I1596:I1598)</f>
        <v>471.60999999999996</v>
      </c>
      <c r="J1599" s="1795"/>
    </row>
    <row r="1600" spans="1:10">
      <c r="A1600" s="1929"/>
      <c r="B1600" s="1930"/>
      <c r="C1600" s="1930"/>
      <c r="D1600" s="1930"/>
      <c r="E1600" s="1930"/>
      <c r="F1600" s="1930"/>
      <c r="G1600" s="1930"/>
      <c r="H1600" s="1930"/>
      <c r="I1600" s="1931"/>
      <c r="J1600" s="1795"/>
    </row>
    <row r="1601" spans="1:10" ht="32.25" customHeight="1">
      <c r="A1601" s="1784">
        <f>'PLANILHA SEM DESON'!B252</f>
        <v>98111</v>
      </c>
      <c r="B1601" s="1940" t="str">
        <f>VLOOKUP(A1601,'PLANILHA SEM DESON'!$B$17:$D$1700,2,FALSE)</f>
        <v>CAIXA DE INSPEÇÃO PARA ATERRAMENTO, CIRCULAR, EM POLIETILENO, DIÂMETRO INTERNO = 0,3 M. AF_12/2020</v>
      </c>
      <c r="C1601" s="1941"/>
      <c r="D1601" s="1941"/>
      <c r="E1601" s="1941"/>
      <c r="F1601" s="1941"/>
      <c r="G1601" s="1941"/>
      <c r="H1601" s="1942"/>
      <c r="I1601" s="1785" t="str">
        <f>VLOOKUP(A1601,'PLANILHA SEM DESON'!$B$17:$D$1700,3,FALSE)</f>
        <v xml:space="preserve">un </v>
      </c>
      <c r="J1601" s="1786">
        <f>I1607</f>
        <v>57.31</v>
      </c>
    </row>
    <row r="1602" spans="1:10" ht="24">
      <c r="A1602" s="1788" t="s">
        <v>2470</v>
      </c>
      <c r="B1602" s="1789" t="s">
        <v>2471</v>
      </c>
      <c r="C1602" s="1790" t="s">
        <v>2468</v>
      </c>
      <c r="D1602" s="1791" t="s">
        <v>308</v>
      </c>
      <c r="E1602" s="1790" t="s">
        <v>202</v>
      </c>
      <c r="F1602" s="1792" t="s">
        <v>2472</v>
      </c>
      <c r="G1602" s="1790" t="s">
        <v>2473</v>
      </c>
      <c r="H1602" s="1793" t="s">
        <v>2474</v>
      </c>
      <c r="I1602" s="1794" t="s">
        <v>2475</v>
      </c>
      <c r="J1602" s="1795"/>
    </row>
    <row r="1603" spans="1:10" ht="36">
      <c r="A1603" s="1797" t="s">
        <v>2476</v>
      </c>
      <c r="B1603" s="1798" t="s">
        <v>2479</v>
      </c>
      <c r="C1603" s="1798">
        <v>34643</v>
      </c>
      <c r="D1603" s="1799" t="s">
        <v>2725</v>
      </c>
      <c r="E1603" s="1800" t="s">
        <v>2501</v>
      </c>
      <c r="F1603" s="1807">
        <v>1</v>
      </c>
      <c r="G1603" s="1801">
        <v>48.56</v>
      </c>
      <c r="H1603" s="1802">
        <f>IF(E1603="H",G1603,TRUNC(G1603*(1-$K$7),2))</f>
        <v>48.31</v>
      </c>
      <c r="I1603" s="1803">
        <f t="shared" ref="I1603:I1606" si="223">TRUNC(H1603*F1603,2)</f>
        <v>48.31</v>
      </c>
      <c r="J1603" s="1795"/>
    </row>
    <row r="1604" spans="1:10">
      <c r="A1604" s="1797" t="s">
        <v>2476</v>
      </c>
      <c r="B1604" s="1798" t="s">
        <v>7</v>
      </c>
      <c r="C1604" s="1798">
        <v>88309</v>
      </c>
      <c r="D1604" s="1799" t="s">
        <v>103</v>
      </c>
      <c r="E1604" s="1800" t="s">
        <v>411</v>
      </c>
      <c r="F1604" s="1807">
        <v>0.1384</v>
      </c>
      <c r="G1604" s="1801">
        <v>24.59</v>
      </c>
      <c r="H1604" s="1802">
        <f>IF(E1604="H",G1604,TRUNC(G1604*(1-$K$7),2))</f>
        <v>24.59</v>
      </c>
      <c r="I1604" s="1803">
        <f t="shared" si="223"/>
        <v>3.4</v>
      </c>
      <c r="J1604" s="1795"/>
    </row>
    <row r="1605" spans="1:10">
      <c r="A1605" s="1797" t="s">
        <v>2476</v>
      </c>
      <c r="B1605" s="1798" t="s">
        <v>7</v>
      </c>
      <c r="C1605" s="1798">
        <v>88316</v>
      </c>
      <c r="D1605" s="1799" t="s">
        <v>66</v>
      </c>
      <c r="E1605" s="1800" t="s">
        <v>411</v>
      </c>
      <c r="F1605" s="1807">
        <v>0.10879999999999999</v>
      </c>
      <c r="G1605" s="1801">
        <v>19.45</v>
      </c>
      <c r="H1605" s="1802">
        <f>IF(E1605="H",G1605,TRUNC(G1605*(1-$K$7),2))</f>
        <v>19.45</v>
      </c>
      <c r="I1605" s="1803">
        <f t="shared" si="223"/>
        <v>2.11</v>
      </c>
      <c r="J1605" s="1795"/>
    </row>
    <row r="1606" spans="1:10" ht="36">
      <c r="A1606" s="1797" t="s">
        <v>2476</v>
      </c>
      <c r="B1606" s="1798" t="s">
        <v>7</v>
      </c>
      <c r="C1606" s="1798">
        <v>101618</v>
      </c>
      <c r="D1606" s="1799" t="s">
        <v>2726</v>
      </c>
      <c r="E1606" s="1800" t="s">
        <v>1171</v>
      </c>
      <c r="F1606" s="1807">
        <v>1.41E-2</v>
      </c>
      <c r="G1606" s="1801">
        <v>249.32</v>
      </c>
      <c r="H1606" s="1802">
        <f>IF(E1606="H",G1606,TRUNC(G1606*(1-$K$7),2))</f>
        <v>248.04</v>
      </c>
      <c r="I1606" s="1803">
        <f t="shared" si="223"/>
        <v>3.49</v>
      </c>
      <c r="J1606" s="1795"/>
    </row>
    <row r="1607" spans="1:10">
      <c r="A1607" s="1943" t="s">
        <v>2477</v>
      </c>
      <c r="B1607" s="1944"/>
      <c r="C1607" s="1944"/>
      <c r="D1607" s="1944"/>
      <c r="E1607" s="1944"/>
      <c r="F1607" s="1944"/>
      <c r="G1607" s="1944"/>
      <c r="H1607" s="1945"/>
      <c r="I1607" s="1805">
        <f>SUM(I1603:I1606)</f>
        <v>57.31</v>
      </c>
      <c r="J1607" s="1795"/>
    </row>
    <row r="1608" spans="1:10">
      <c r="A1608" s="1929"/>
      <c r="B1608" s="1930"/>
      <c r="C1608" s="1930"/>
      <c r="D1608" s="1930"/>
      <c r="E1608" s="1930"/>
      <c r="F1608" s="1930"/>
      <c r="G1608" s="1930"/>
      <c r="H1608" s="1930"/>
      <c r="I1608" s="1931"/>
      <c r="J1608" s="1795"/>
    </row>
    <row r="1609" spans="1:10">
      <c r="A1609" s="1784">
        <f>'PLANILHA SEM DESON'!B253</f>
        <v>96986</v>
      </c>
      <c r="B1609" s="1940" t="str">
        <f>VLOOKUP(A1609,'PLANILHA SEM DESON'!$B$17:$D$1700,2,FALSE)</f>
        <v>HASTE DE ATERRAMENTO 3/4 PARA SPDA - FORNECIMENTO E INSTALAÇÃO. AF_12/2017</v>
      </c>
      <c r="C1609" s="1941"/>
      <c r="D1609" s="1941"/>
      <c r="E1609" s="1941"/>
      <c r="F1609" s="1941"/>
      <c r="G1609" s="1941"/>
      <c r="H1609" s="1942"/>
      <c r="I1609" s="1785" t="str">
        <f>VLOOKUP(A1609,'PLANILHA SEM DESON'!$B$17:$D$1700,3,FALSE)</f>
        <v xml:space="preserve">un </v>
      </c>
      <c r="J1609" s="1786">
        <f>I1614</f>
        <v>113.47999999999999</v>
      </c>
    </row>
    <row r="1610" spans="1:10" ht="24">
      <c r="A1610" s="1788" t="s">
        <v>2470</v>
      </c>
      <c r="B1610" s="1789" t="s">
        <v>2471</v>
      </c>
      <c r="C1610" s="1790" t="s">
        <v>2468</v>
      </c>
      <c r="D1610" s="1791" t="s">
        <v>308</v>
      </c>
      <c r="E1610" s="1790" t="s">
        <v>202</v>
      </c>
      <c r="F1610" s="1792" t="s">
        <v>2472</v>
      </c>
      <c r="G1610" s="1790" t="s">
        <v>2473</v>
      </c>
      <c r="H1610" s="1793" t="s">
        <v>2474</v>
      </c>
      <c r="I1610" s="1794" t="s">
        <v>2475</v>
      </c>
      <c r="J1610" s="1795"/>
    </row>
    <row r="1611" spans="1:10" ht="36">
      <c r="A1611" s="1797" t="s">
        <v>2476</v>
      </c>
      <c r="B1611" s="1798" t="s">
        <v>2479</v>
      </c>
      <c r="C1611" s="1798">
        <v>3378</v>
      </c>
      <c r="D1611" s="1799" t="s">
        <v>2727</v>
      </c>
      <c r="E1611" s="1800" t="s">
        <v>2501</v>
      </c>
      <c r="F1611" s="1807">
        <v>1</v>
      </c>
      <c r="G1611" s="1801">
        <v>95.57</v>
      </c>
      <c r="H1611" s="1802">
        <f>IF(E1611="H",G1611,TRUNC(G1611*(1-$K$7),2))</f>
        <v>95.08</v>
      </c>
      <c r="I1611" s="1803">
        <f t="shared" ref="I1611:I1613" si="224">TRUNC(H1611*F1611,2)</f>
        <v>95.08</v>
      </c>
      <c r="J1611" s="1795"/>
    </row>
    <row r="1612" spans="1:10" ht="24">
      <c r="A1612" s="1797" t="s">
        <v>2476</v>
      </c>
      <c r="B1612" s="1798" t="s">
        <v>7</v>
      </c>
      <c r="C1612" s="1798">
        <v>88247</v>
      </c>
      <c r="D1612" s="1799" t="s">
        <v>93</v>
      </c>
      <c r="E1612" s="1800" t="s">
        <v>411</v>
      </c>
      <c r="F1612" s="1807">
        <v>0.39550000000000002</v>
      </c>
      <c r="G1612" s="1801">
        <v>21</v>
      </c>
      <c r="H1612" s="1802">
        <f>IF(E1612="H",G1612,TRUNC(G1612*(1-$K$7),2))</f>
        <v>21</v>
      </c>
      <c r="I1612" s="1803">
        <f t="shared" si="224"/>
        <v>8.3000000000000007</v>
      </c>
      <c r="J1612" s="1795"/>
    </row>
    <row r="1613" spans="1:10">
      <c r="A1613" s="1797" t="s">
        <v>2476</v>
      </c>
      <c r="B1613" s="1798" t="s">
        <v>7</v>
      </c>
      <c r="C1613" s="1798">
        <v>88264</v>
      </c>
      <c r="D1613" s="1799" t="s">
        <v>94</v>
      </c>
      <c r="E1613" s="1800" t="s">
        <v>411</v>
      </c>
      <c r="F1613" s="1807">
        <v>0.39550000000000002</v>
      </c>
      <c r="G1613" s="1801">
        <v>25.54</v>
      </c>
      <c r="H1613" s="1802">
        <f>IF(E1613="H",G1613,TRUNC(G1613*(1-$K$7),2))</f>
        <v>25.54</v>
      </c>
      <c r="I1613" s="1803">
        <f t="shared" si="224"/>
        <v>10.1</v>
      </c>
      <c r="J1613" s="1795"/>
    </row>
    <row r="1614" spans="1:10">
      <c r="A1614" s="1943" t="s">
        <v>2477</v>
      </c>
      <c r="B1614" s="1944"/>
      <c r="C1614" s="1944"/>
      <c r="D1614" s="1944"/>
      <c r="E1614" s="1944"/>
      <c r="F1614" s="1944"/>
      <c r="G1614" s="1944"/>
      <c r="H1614" s="1945"/>
      <c r="I1614" s="1805">
        <f>SUM(I1611:I1613)</f>
        <v>113.47999999999999</v>
      </c>
      <c r="J1614" s="1795"/>
    </row>
    <row r="1615" spans="1:10">
      <c r="A1615" s="1929"/>
      <c r="B1615" s="1930"/>
      <c r="C1615" s="1930"/>
      <c r="D1615" s="1930"/>
      <c r="E1615" s="1930"/>
      <c r="F1615" s="1930"/>
      <c r="G1615" s="1930"/>
      <c r="H1615" s="1930"/>
      <c r="I1615" s="1931"/>
      <c r="J1615" s="1795"/>
    </row>
    <row r="1616" spans="1:10" ht="31.5" customHeight="1">
      <c r="A1616" s="1784">
        <f>'PLANILHA SEM DESON'!B254</f>
        <v>96972</v>
      </c>
      <c r="B1616" s="1940" t="str">
        <f>VLOOKUP(A1616,'PLANILHA SEM DESON'!$B$17:$D$1700,2,FALSE)</f>
        <v>CORDOALHA DE COBRE NU 25 MM², NÃO ENTERRADA, COM ISOLADOR - FORNECIMENTO E INSTALAÇÃO. AF_12/2017</v>
      </c>
      <c r="C1616" s="1941"/>
      <c r="D1616" s="1941"/>
      <c r="E1616" s="1941"/>
      <c r="F1616" s="1941"/>
      <c r="G1616" s="1941"/>
      <c r="H1616" s="1942"/>
      <c r="I1616" s="1785" t="str">
        <f>VLOOKUP(A1616,'PLANILHA SEM DESON'!$B$17:$D$1700,3,FALSE)</f>
        <v>m</v>
      </c>
      <c r="J1616" s="1786">
        <f>I1622</f>
        <v>45.670000000000009</v>
      </c>
    </row>
    <row r="1617" spans="1:10" ht="24">
      <c r="A1617" s="1788" t="s">
        <v>2470</v>
      </c>
      <c r="B1617" s="1789" t="s">
        <v>2471</v>
      </c>
      <c r="C1617" s="1790" t="s">
        <v>2468</v>
      </c>
      <c r="D1617" s="1791" t="s">
        <v>308</v>
      </c>
      <c r="E1617" s="1790" t="s">
        <v>202</v>
      </c>
      <c r="F1617" s="1792" t="s">
        <v>2472</v>
      </c>
      <c r="G1617" s="1790" t="s">
        <v>2473</v>
      </c>
      <c r="H1617" s="1793" t="s">
        <v>2474</v>
      </c>
      <c r="I1617" s="1794" t="s">
        <v>2475</v>
      </c>
      <c r="J1617" s="1795"/>
    </row>
    <row r="1618" spans="1:10">
      <c r="A1618" s="1797" t="s">
        <v>2476</v>
      </c>
      <c r="B1618" s="1798" t="s">
        <v>2479</v>
      </c>
      <c r="C1618" s="1798">
        <v>868</v>
      </c>
      <c r="D1618" s="1799" t="s">
        <v>2728</v>
      </c>
      <c r="E1618" s="1800" t="s">
        <v>160</v>
      </c>
      <c r="F1618" s="1807">
        <v>1.05</v>
      </c>
      <c r="G1618" s="1801">
        <v>24.11</v>
      </c>
      <c r="H1618" s="1802">
        <f>IF(E1618="H",G1618,TRUNC(G1618*(1-$K$7),2))</f>
        <v>23.98</v>
      </c>
      <c r="I1618" s="1803">
        <f t="shared" ref="I1618:I1621" si="225">TRUNC(H1618*F1618,2)</f>
        <v>25.17</v>
      </c>
      <c r="J1618" s="1795"/>
    </row>
    <row r="1619" spans="1:10" ht="24">
      <c r="A1619" s="1797" t="s">
        <v>2476</v>
      </c>
      <c r="B1619" s="1798" t="s">
        <v>7</v>
      </c>
      <c r="C1619" s="1798">
        <v>88247</v>
      </c>
      <c r="D1619" s="1799" t="s">
        <v>93</v>
      </c>
      <c r="E1619" s="1800" t="s">
        <v>411</v>
      </c>
      <c r="F1619" s="1807">
        <v>0.1855</v>
      </c>
      <c r="G1619" s="1801">
        <v>21</v>
      </c>
      <c r="H1619" s="1802">
        <f>IF(E1619="H",G1619,TRUNC(G1619*(1-$K$7),2))</f>
        <v>21</v>
      </c>
      <c r="I1619" s="1803">
        <f t="shared" si="225"/>
        <v>3.89</v>
      </c>
      <c r="J1619" s="1795"/>
    </row>
    <row r="1620" spans="1:10">
      <c r="A1620" s="1797" t="s">
        <v>2476</v>
      </c>
      <c r="B1620" s="1798" t="s">
        <v>7</v>
      </c>
      <c r="C1620" s="1798">
        <v>88264</v>
      </c>
      <c r="D1620" s="1799" t="s">
        <v>94</v>
      </c>
      <c r="E1620" s="1800" t="s">
        <v>411</v>
      </c>
      <c r="F1620" s="1807">
        <v>0.1855</v>
      </c>
      <c r="G1620" s="1801">
        <v>25.54</v>
      </c>
      <c r="H1620" s="1802">
        <f>IF(E1620="H",G1620,TRUNC(G1620*(1-$K$7),2))</f>
        <v>25.54</v>
      </c>
      <c r="I1620" s="1803">
        <f t="shared" si="225"/>
        <v>4.7300000000000004</v>
      </c>
      <c r="J1620" s="1795"/>
    </row>
    <row r="1621" spans="1:10" ht="24">
      <c r="A1621" s="1797" t="s">
        <v>2476</v>
      </c>
      <c r="B1621" s="1798" t="s">
        <v>7</v>
      </c>
      <c r="C1621" s="1798">
        <v>98463</v>
      </c>
      <c r="D1621" s="1799" t="s">
        <v>2729</v>
      </c>
      <c r="E1621" s="1800" t="s">
        <v>2501</v>
      </c>
      <c r="F1621" s="1807">
        <v>0.5</v>
      </c>
      <c r="G1621" s="1801">
        <v>23.9</v>
      </c>
      <c r="H1621" s="1802">
        <f>IF(E1621="H",G1621,TRUNC(G1621*(1-$K$7),2))</f>
        <v>23.77</v>
      </c>
      <c r="I1621" s="1803">
        <f t="shared" si="225"/>
        <v>11.88</v>
      </c>
      <c r="J1621" s="1795"/>
    </row>
    <row r="1622" spans="1:10">
      <c r="A1622" s="1943" t="s">
        <v>2477</v>
      </c>
      <c r="B1622" s="1944"/>
      <c r="C1622" s="1944"/>
      <c r="D1622" s="1944"/>
      <c r="E1622" s="1944"/>
      <c r="F1622" s="1944"/>
      <c r="G1622" s="1944"/>
      <c r="H1622" s="1945"/>
      <c r="I1622" s="1805">
        <f>SUM(I1618:I1621)</f>
        <v>45.670000000000009</v>
      </c>
      <c r="J1622" s="1795"/>
    </row>
    <row r="1623" spans="1:10">
      <c r="A1623" s="1929"/>
      <c r="B1623" s="1930"/>
      <c r="C1623" s="1930"/>
      <c r="D1623" s="1930"/>
      <c r="E1623" s="1930"/>
      <c r="F1623" s="1930"/>
      <c r="G1623" s="1930"/>
      <c r="H1623" s="1930"/>
      <c r="I1623" s="1931"/>
      <c r="J1623" s="1795"/>
    </row>
    <row r="1624" spans="1:10" ht="31.5" customHeight="1">
      <c r="A1624" s="1784">
        <f>'PLANILHA SEM DESON'!B255</f>
        <v>96973</v>
      </c>
      <c r="B1624" s="1940" t="str">
        <f>VLOOKUP(A1624,'PLANILHA SEM DESON'!$B$17:$D$1700,2,FALSE)</f>
        <v>CORDOALHA DE COBRE NU 35 MM², NÃO ENTERRADA, COM ISOLADOR - FORNECIMENTO E INSTALAÇÃO. AF_12/2017</v>
      </c>
      <c r="C1624" s="1941"/>
      <c r="D1624" s="1941"/>
      <c r="E1624" s="1941"/>
      <c r="F1624" s="1941"/>
      <c r="G1624" s="1941"/>
      <c r="H1624" s="1942"/>
      <c r="I1624" s="1785" t="str">
        <f>VLOOKUP(A1624,'PLANILHA SEM DESON'!$B$17:$D$1700,3,FALSE)</f>
        <v>m</v>
      </c>
      <c r="J1624" s="1786">
        <f>I1630</f>
        <v>60.730000000000004</v>
      </c>
    </row>
    <row r="1625" spans="1:10" ht="24">
      <c r="A1625" s="1788" t="s">
        <v>2470</v>
      </c>
      <c r="B1625" s="1789" t="s">
        <v>2471</v>
      </c>
      <c r="C1625" s="1790" t="s">
        <v>2468</v>
      </c>
      <c r="D1625" s="1791" t="s">
        <v>308</v>
      </c>
      <c r="E1625" s="1790" t="s">
        <v>202</v>
      </c>
      <c r="F1625" s="1792" t="s">
        <v>2472</v>
      </c>
      <c r="G1625" s="1790" t="s">
        <v>2473</v>
      </c>
      <c r="H1625" s="1793" t="s">
        <v>2474</v>
      </c>
      <c r="I1625" s="1794" t="s">
        <v>2475</v>
      </c>
      <c r="J1625" s="1795"/>
    </row>
    <row r="1626" spans="1:10">
      <c r="A1626" s="1797" t="s">
        <v>2476</v>
      </c>
      <c r="B1626" s="1798" t="s">
        <v>2479</v>
      </c>
      <c r="C1626" s="1798">
        <v>863</v>
      </c>
      <c r="D1626" s="1799" t="s">
        <v>2730</v>
      </c>
      <c r="E1626" s="1800" t="s">
        <v>160</v>
      </c>
      <c r="F1626" s="1807">
        <v>1.05</v>
      </c>
      <c r="G1626" s="1801">
        <v>35.51</v>
      </c>
      <c r="H1626" s="1802">
        <f>IF(E1626="H",G1626,TRUNC(G1626*(1-$K$7),2))</f>
        <v>35.32</v>
      </c>
      <c r="I1626" s="1803">
        <f t="shared" ref="I1626:I1629" si="226">TRUNC(H1626*F1626,2)</f>
        <v>37.08</v>
      </c>
      <c r="J1626" s="1795"/>
    </row>
    <row r="1627" spans="1:10" ht="24">
      <c r="A1627" s="1797" t="s">
        <v>2476</v>
      </c>
      <c r="B1627" s="1798" t="s">
        <v>7</v>
      </c>
      <c r="C1627" s="1798">
        <v>88247</v>
      </c>
      <c r="D1627" s="1799" t="s">
        <v>93</v>
      </c>
      <c r="E1627" s="1800" t="s">
        <v>411</v>
      </c>
      <c r="F1627" s="1807">
        <v>0.25330000000000003</v>
      </c>
      <c r="G1627" s="1801">
        <v>21</v>
      </c>
      <c r="H1627" s="1802">
        <f>IF(E1627="H",G1627,TRUNC(G1627*(1-$K$7),2))</f>
        <v>21</v>
      </c>
      <c r="I1627" s="1803">
        <f t="shared" si="226"/>
        <v>5.31</v>
      </c>
      <c r="J1627" s="1795"/>
    </row>
    <row r="1628" spans="1:10">
      <c r="A1628" s="1797" t="s">
        <v>2476</v>
      </c>
      <c r="B1628" s="1798" t="s">
        <v>7</v>
      </c>
      <c r="C1628" s="1798">
        <v>88264</v>
      </c>
      <c r="D1628" s="1799" t="s">
        <v>94</v>
      </c>
      <c r="E1628" s="1800" t="s">
        <v>411</v>
      </c>
      <c r="F1628" s="1807">
        <v>0.25330000000000003</v>
      </c>
      <c r="G1628" s="1801">
        <v>25.54</v>
      </c>
      <c r="H1628" s="1802">
        <f>IF(E1628="H",G1628,TRUNC(G1628*(1-$K$7),2))</f>
        <v>25.54</v>
      </c>
      <c r="I1628" s="1803">
        <f t="shared" si="226"/>
        <v>6.46</v>
      </c>
      <c r="J1628" s="1795"/>
    </row>
    <row r="1629" spans="1:10" ht="24">
      <c r="A1629" s="1797" t="s">
        <v>2476</v>
      </c>
      <c r="B1629" s="1798" t="s">
        <v>7</v>
      </c>
      <c r="C1629" s="1798">
        <v>98463</v>
      </c>
      <c r="D1629" s="1799" t="s">
        <v>2729</v>
      </c>
      <c r="E1629" s="1800" t="s">
        <v>2501</v>
      </c>
      <c r="F1629" s="1807">
        <v>0.5</v>
      </c>
      <c r="G1629" s="1801">
        <v>23.9</v>
      </c>
      <c r="H1629" s="1802">
        <f>IF(E1629="H",G1629,TRUNC(G1629*(1-$K$7),2))</f>
        <v>23.77</v>
      </c>
      <c r="I1629" s="1803">
        <f t="shared" si="226"/>
        <v>11.88</v>
      </c>
      <c r="J1629" s="1795"/>
    </row>
    <row r="1630" spans="1:10">
      <c r="A1630" s="1943" t="s">
        <v>2477</v>
      </c>
      <c r="B1630" s="1944"/>
      <c r="C1630" s="1944"/>
      <c r="D1630" s="1944"/>
      <c r="E1630" s="1944"/>
      <c r="F1630" s="1944"/>
      <c r="G1630" s="1944"/>
      <c r="H1630" s="1945"/>
      <c r="I1630" s="1805">
        <f>SUM(I1626:I1629)</f>
        <v>60.730000000000004</v>
      </c>
      <c r="J1630" s="1795"/>
    </row>
    <row r="1631" spans="1:10">
      <c r="A1631" s="1929"/>
      <c r="B1631" s="1930"/>
      <c r="C1631" s="1930"/>
      <c r="D1631" s="1930"/>
      <c r="E1631" s="1930"/>
      <c r="F1631" s="1930"/>
      <c r="G1631" s="1930"/>
      <c r="H1631" s="1930"/>
      <c r="I1631" s="1931"/>
      <c r="J1631" s="1795"/>
    </row>
    <row r="1632" spans="1:10" ht="31.5" customHeight="1">
      <c r="A1632" s="1784">
        <f>'PLANILHA SEM DESON'!B256</f>
        <v>96974</v>
      </c>
      <c r="B1632" s="1940" t="str">
        <f>VLOOKUP(A1632,'PLANILHA SEM DESON'!$B$17:$D$1700,2,FALSE)</f>
        <v>CORDOALHA DE COBRE NU 50 MM², NÃO ENTERRADA, COM ISOLADOR - FORNECIMENTO E INSTALAÇÃO. AF_12/2017</v>
      </c>
      <c r="C1632" s="1941"/>
      <c r="D1632" s="1941"/>
      <c r="E1632" s="1941"/>
      <c r="F1632" s="1941"/>
      <c r="G1632" s="1941"/>
      <c r="H1632" s="1942"/>
      <c r="I1632" s="1785" t="str">
        <f>VLOOKUP(A1632,'PLANILHA SEM DESON'!$B$17:$D$1700,3,FALSE)</f>
        <v>m</v>
      </c>
      <c r="J1632" s="1786">
        <f>I1638</f>
        <v>79.84</v>
      </c>
    </row>
    <row r="1633" spans="1:10" ht="24">
      <c r="A1633" s="1788" t="s">
        <v>2470</v>
      </c>
      <c r="B1633" s="1789" t="s">
        <v>2471</v>
      </c>
      <c r="C1633" s="1790" t="s">
        <v>2468</v>
      </c>
      <c r="D1633" s="1791" t="s">
        <v>308</v>
      </c>
      <c r="E1633" s="1790" t="s">
        <v>202</v>
      </c>
      <c r="F1633" s="1792" t="s">
        <v>2472</v>
      </c>
      <c r="G1633" s="1790" t="s">
        <v>2473</v>
      </c>
      <c r="H1633" s="1793" t="s">
        <v>2474</v>
      </c>
      <c r="I1633" s="1794" t="s">
        <v>2475</v>
      </c>
      <c r="J1633" s="1795"/>
    </row>
    <row r="1634" spans="1:10">
      <c r="A1634" s="1797" t="s">
        <v>2476</v>
      </c>
      <c r="B1634" s="1798" t="s">
        <v>2479</v>
      </c>
      <c r="C1634" s="1798">
        <v>867</v>
      </c>
      <c r="D1634" s="1799" t="s">
        <v>2731</v>
      </c>
      <c r="E1634" s="1800" t="s">
        <v>160</v>
      </c>
      <c r="F1634" s="1807">
        <v>1.05</v>
      </c>
      <c r="G1634" s="1801">
        <v>50.59</v>
      </c>
      <c r="H1634" s="1802">
        <f>IF(E1634="H",G1634,TRUNC(G1634*(1-$K$7),2))</f>
        <v>50.33</v>
      </c>
      <c r="I1634" s="1803">
        <f t="shared" ref="I1634:I1637" si="227">TRUNC(H1634*F1634,2)</f>
        <v>52.84</v>
      </c>
      <c r="J1634" s="1795"/>
    </row>
    <row r="1635" spans="1:10" ht="24">
      <c r="A1635" s="1797" t="s">
        <v>2476</v>
      </c>
      <c r="B1635" s="1798" t="s">
        <v>7</v>
      </c>
      <c r="C1635" s="1798">
        <v>88247</v>
      </c>
      <c r="D1635" s="1799" t="s">
        <v>93</v>
      </c>
      <c r="E1635" s="1800" t="s">
        <v>411</v>
      </c>
      <c r="F1635" s="1807">
        <v>0.3251</v>
      </c>
      <c r="G1635" s="1801">
        <v>21</v>
      </c>
      <c r="H1635" s="1802">
        <f>IF(E1635="H",G1635,TRUNC(G1635*(1-$K$7),2))</f>
        <v>21</v>
      </c>
      <c r="I1635" s="1803">
        <f t="shared" si="227"/>
        <v>6.82</v>
      </c>
      <c r="J1635" s="1795"/>
    </row>
    <row r="1636" spans="1:10">
      <c r="A1636" s="1797" t="s">
        <v>2476</v>
      </c>
      <c r="B1636" s="1798" t="s">
        <v>7</v>
      </c>
      <c r="C1636" s="1798">
        <v>88264</v>
      </c>
      <c r="D1636" s="1799" t="s">
        <v>94</v>
      </c>
      <c r="E1636" s="1800" t="s">
        <v>411</v>
      </c>
      <c r="F1636" s="1807">
        <v>0.3251</v>
      </c>
      <c r="G1636" s="1801">
        <v>25.54</v>
      </c>
      <c r="H1636" s="1802">
        <f>IF(E1636="H",G1636,TRUNC(G1636*(1-$K$7),2))</f>
        <v>25.54</v>
      </c>
      <c r="I1636" s="1803">
        <f t="shared" si="227"/>
        <v>8.3000000000000007</v>
      </c>
      <c r="J1636" s="1795"/>
    </row>
    <row r="1637" spans="1:10" ht="24">
      <c r="A1637" s="1797" t="s">
        <v>2476</v>
      </c>
      <c r="B1637" s="1798" t="s">
        <v>7</v>
      </c>
      <c r="C1637" s="1798">
        <v>98463</v>
      </c>
      <c r="D1637" s="1799" t="s">
        <v>2729</v>
      </c>
      <c r="E1637" s="1800" t="s">
        <v>2501</v>
      </c>
      <c r="F1637" s="1807">
        <v>0.5</v>
      </c>
      <c r="G1637" s="1801">
        <v>23.9</v>
      </c>
      <c r="H1637" s="1802">
        <f>IF(E1637="H",G1637,TRUNC(G1637*(1-$K$7),2))</f>
        <v>23.77</v>
      </c>
      <c r="I1637" s="1803">
        <f t="shared" si="227"/>
        <v>11.88</v>
      </c>
      <c r="J1637" s="1795"/>
    </row>
    <row r="1638" spans="1:10">
      <c r="A1638" s="1943" t="s">
        <v>2477</v>
      </c>
      <c r="B1638" s="1944"/>
      <c r="C1638" s="1944"/>
      <c r="D1638" s="1944"/>
      <c r="E1638" s="1944"/>
      <c r="F1638" s="1944"/>
      <c r="G1638" s="1944"/>
      <c r="H1638" s="1945"/>
      <c r="I1638" s="1805">
        <f>SUM(I1634:I1637)</f>
        <v>79.84</v>
      </c>
      <c r="J1638" s="1795"/>
    </row>
    <row r="1639" spans="1:10">
      <c r="A1639" s="1929"/>
      <c r="B1639" s="1930"/>
      <c r="C1639" s="1930"/>
      <c r="D1639" s="1930"/>
      <c r="E1639" s="1930"/>
      <c r="F1639" s="1930"/>
      <c r="G1639" s="1930"/>
      <c r="H1639" s="1930"/>
      <c r="I1639" s="1931"/>
      <c r="J1639" s="1795"/>
    </row>
    <row r="1640" spans="1:10" ht="24" customHeight="1">
      <c r="A1640" s="1784" t="str">
        <f>'PLANILHA SEM DESON'!B257</f>
        <v xml:space="preserve">COMP ELE 19 </v>
      </c>
      <c r="B1640" s="1940" t="str">
        <f>VLOOKUP(A1640,'PLANILHA SEM DESON'!$B$17:$D$1700,2,FALSE)</f>
        <v>TERMINAL AÉREO (CAPTOR) - 600MM - FIXAÇÃO HORIZONTAL</v>
      </c>
      <c r="C1640" s="1941"/>
      <c r="D1640" s="1941"/>
      <c r="E1640" s="1941"/>
      <c r="F1640" s="1941"/>
      <c r="G1640" s="1941"/>
      <c r="H1640" s="1942"/>
      <c r="I1640" s="1785" t="str">
        <f>VLOOKUP(A1640,'PLANILHA SEM DESON'!$B$17:$D$1700,3,FALSE)</f>
        <v xml:space="preserve">un </v>
      </c>
      <c r="J1640" s="1786">
        <f>I1645</f>
        <v>33.04</v>
      </c>
    </row>
    <row r="1641" spans="1:10" ht="24">
      <c r="A1641" s="1788" t="s">
        <v>2470</v>
      </c>
      <c r="B1641" s="1789" t="s">
        <v>2471</v>
      </c>
      <c r="C1641" s="1790" t="s">
        <v>2468</v>
      </c>
      <c r="D1641" s="1791" t="s">
        <v>308</v>
      </c>
      <c r="E1641" s="1790" t="s">
        <v>202</v>
      </c>
      <c r="F1641" s="1792" t="s">
        <v>2472</v>
      </c>
      <c r="G1641" s="1790" t="s">
        <v>2473</v>
      </c>
      <c r="H1641" s="1793" t="s">
        <v>2474</v>
      </c>
      <c r="I1641" s="1794" t="s">
        <v>2475</v>
      </c>
      <c r="J1641" s="1795"/>
    </row>
    <row r="1642" spans="1:10">
      <c r="A1642" s="1797"/>
      <c r="B1642" s="1798"/>
      <c r="C1642" s="1798">
        <v>88264</v>
      </c>
      <c r="D1642" s="1799" t="s">
        <v>94</v>
      </c>
      <c r="E1642" s="1800" t="s">
        <v>57</v>
      </c>
      <c r="F1642" s="1811">
        <v>0.25</v>
      </c>
      <c r="G1642" s="1806">
        <v>25.54</v>
      </c>
      <c r="H1642" s="1802">
        <f>IF(E1642="H",G1642,TRUNC(G1642*(1-$K$7),2))</f>
        <v>25.54</v>
      </c>
      <c r="I1642" s="1803">
        <f t="shared" ref="I1642:I1644" si="228">TRUNC(H1642*F1642,2)</f>
        <v>6.38</v>
      </c>
      <c r="J1642" s="1795"/>
    </row>
    <row r="1643" spans="1:10" ht="24">
      <c r="A1643" s="1797"/>
      <c r="B1643" s="1798"/>
      <c r="C1643" s="1798">
        <v>88247</v>
      </c>
      <c r="D1643" s="1799" t="s">
        <v>93</v>
      </c>
      <c r="E1643" s="1800" t="s">
        <v>57</v>
      </c>
      <c r="F1643" s="1811">
        <v>0.25</v>
      </c>
      <c r="G1643" s="1806">
        <v>21</v>
      </c>
      <c r="H1643" s="1802">
        <f>IF(E1643="H",G1643,TRUNC(G1643*(1-$K$7),2))</f>
        <v>21</v>
      </c>
      <c r="I1643" s="1803">
        <f t="shared" si="228"/>
        <v>5.25</v>
      </c>
      <c r="J1643" s="1795"/>
    </row>
    <row r="1644" spans="1:10" ht="24">
      <c r="A1644" s="1797"/>
      <c r="B1644" s="1798"/>
      <c r="C1644" s="1798" t="s">
        <v>65</v>
      </c>
      <c r="D1644" s="1799" t="s">
        <v>1579</v>
      </c>
      <c r="E1644" s="1800" t="s">
        <v>55</v>
      </c>
      <c r="F1644" s="1811">
        <v>1</v>
      </c>
      <c r="G1644" s="1806">
        <v>21.52</v>
      </c>
      <c r="H1644" s="1802">
        <f>IF(E1644="H",G1644,TRUNC(G1644*(1-$K$7),2))</f>
        <v>21.41</v>
      </c>
      <c r="I1644" s="1803">
        <f t="shared" si="228"/>
        <v>21.41</v>
      </c>
      <c r="J1644" s="1795"/>
    </row>
    <row r="1645" spans="1:10">
      <c r="A1645" s="1943" t="s">
        <v>2477</v>
      </c>
      <c r="B1645" s="1944"/>
      <c r="C1645" s="1944"/>
      <c r="D1645" s="1944"/>
      <c r="E1645" s="1944"/>
      <c r="F1645" s="1944"/>
      <c r="G1645" s="1944"/>
      <c r="H1645" s="1945"/>
      <c r="I1645" s="1805">
        <f>SUM(I1642:I1644)</f>
        <v>33.04</v>
      </c>
      <c r="J1645" s="1795"/>
    </row>
    <row r="1646" spans="1:10">
      <c r="A1646" s="1929"/>
      <c r="B1646" s="1930"/>
      <c r="C1646" s="1930"/>
      <c r="D1646" s="1930"/>
      <c r="E1646" s="1930"/>
      <c r="F1646" s="1930"/>
      <c r="G1646" s="1930"/>
      <c r="H1646" s="1930"/>
      <c r="I1646" s="1931"/>
      <c r="J1646" s="1795"/>
    </row>
    <row r="1647" spans="1:10" ht="24.75" customHeight="1">
      <c r="A1647" s="1784">
        <f>'PLANILHA SEM DESON'!B260</f>
        <v>89408</v>
      </c>
      <c r="B1647" s="1940" t="str">
        <f>VLOOKUP(A1647,'PLANILHA SEM DESON'!$B$17:$D$1700,2,FALSE)</f>
        <v>JOELHO 90 GRAUS, PVC, SOLDÁVEL, DN 25MM, INSTALADO EM RAMAL DE DISTRIBUIÇÃO DE ÁGUA - FORNECIMENTO E INSTALAÇÃO. AF_12/2014</v>
      </c>
      <c r="C1647" s="1941"/>
      <c r="D1647" s="1941"/>
      <c r="E1647" s="1941"/>
      <c r="F1647" s="1941"/>
      <c r="G1647" s="1941"/>
      <c r="H1647" s="1942"/>
      <c r="I1647" s="1785" t="str">
        <f>VLOOKUP(A1647,'PLANILHA SEM DESON'!$B$17:$D$1700,3,FALSE)</f>
        <v xml:space="preserve">un </v>
      </c>
      <c r="J1647" s="1786">
        <f>I1655</f>
        <v>8.379999999999999</v>
      </c>
    </row>
    <row r="1648" spans="1:10" ht="24">
      <c r="A1648" s="1788" t="s">
        <v>2470</v>
      </c>
      <c r="B1648" s="1789" t="s">
        <v>2471</v>
      </c>
      <c r="C1648" s="1790" t="s">
        <v>2468</v>
      </c>
      <c r="D1648" s="1791" t="s">
        <v>308</v>
      </c>
      <c r="E1648" s="1790" t="s">
        <v>202</v>
      </c>
      <c r="F1648" s="1792" t="s">
        <v>2472</v>
      </c>
      <c r="G1648" s="1790" t="s">
        <v>2473</v>
      </c>
      <c r="H1648" s="1793" t="s">
        <v>2474</v>
      </c>
      <c r="I1648" s="1794" t="s">
        <v>2475</v>
      </c>
      <c r="J1648" s="1795"/>
    </row>
    <row r="1649" spans="1:10">
      <c r="A1649" s="1797" t="s">
        <v>2476</v>
      </c>
      <c r="B1649" s="1798" t="s">
        <v>2479</v>
      </c>
      <c r="C1649" s="1798">
        <v>122</v>
      </c>
      <c r="D1649" s="1799" t="s">
        <v>2732</v>
      </c>
      <c r="E1649" s="1800" t="s">
        <v>2501</v>
      </c>
      <c r="F1649" s="1807">
        <v>7.1000000000000004E-3</v>
      </c>
      <c r="G1649" s="1801">
        <v>76.86</v>
      </c>
      <c r="H1649" s="1802">
        <f t="shared" ref="H1649:H1654" si="229">IF(E1649="H",G1649,TRUNC(G1649*(1-$K$7),2))</f>
        <v>76.459999999999994</v>
      </c>
      <c r="I1649" s="1803">
        <f t="shared" ref="I1649:I1654" si="230">TRUNC(H1649*F1649,2)</f>
        <v>0.54</v>
      </c>
      <c r="J1649" s="1795"/>
    </row>
    <row r="1650" spans="1:10" ht="24">
      <c r="A1650" s="1797" t="s">
        <v>2476</v>
      </c>
      <c r="B1650" s="1798" t="s">
        <v>2479</v>
      </c>
      <c r="C1650" s="1798">
        <v>3529</v>
      </c>
      <c r="D1650" s="1799" t="s">
        <v>2733</v>
      </c>
      <c r="E1650" s="1800" t="s">
        <v>2501</v>
      </c>
      <c r="F1650" s="1807">
        <v>1</v>
      </c>
      <c r="G1650" s="1801">
        <v>1.02</v>
      </c>
      <c r="H1650" s="1802">
        <f t="shared" si="229"/>
        <v>1.01</v>
      </c>
      <c r="I1650" s="1803">
        <f t="shared" si="230"/>
        <v>1.01</v>
      </c>
      <c r="J1650" s="1795"/>
    </row>
    <row r="1651" spans="1:10" ht="24">
      <c r="A1651" s="1797" t="s">
        <v>2476</v>
      </c>
      <c r="B1651" s="1798" t="s">
        <v>2479</v>
      </c>
      <c r="C1651" s="1798">
        <v>20083</v>
      </c>
      <c r="D1651" s="1799" t="s">
        <v>2606</v>
      </c>
      <c r="E1651" s="1800" t="s">
        <v>2501</v>
      </c>
      <c r="F1651" s="1807">
        <v>8.0000000000000002E-3</v>
      </c>
      <c r="G1651" s="1801">
        <v>87.08</v>
      </c>
      <c r="H1651" s="1802">
        <f t="shared" si="229"/>
        <v>86.63</v>
      </c>
      <c r="I1651" s="1803">
        <f t="shared" si="230"/>
        <v>0.69</v>
      </c>
      <c r="J1651" s="1795"/>
    </row>
    <row r="1652" spans="1:10">
      <c r="A1652" s="1797" t="s">
        <v>2476</v>
      </c>
      <c r="B1652" s="1798" t="s">
        <v>2479</v>
      </c>
      <c r="C1652" s="1798">
        <v>38383</v>
      </c>
      <c r="D1652" s="1799" t="s">
        <v>2607</v>
      </c>
      <c r="E1652" s="1800" t="s">
        <v>2501</v>
      </c>
      <c r="F1652" s="1807">
        <v>3.0200000000000001E-2</v>
      </c>
      <c r="G1652" s="1801">
        <v>2.56</v>
      </c>
      <c r="H1652" s="1802">
        <f t="shared" si="229"/>
        <v>2.54</v>
      </c>
      <c r="I1652" s="1803">
        <f t="shared" si="230"/>
        <v>7.0000000000000007E-2</v>
      </c>
      <c r="J1652" s="1795"/>
    </row>
    <row r="1653" spans="1:10" ht="24">
      <c r="A1653" s="1797" t="s">
        <v>2476</v>
      </c>
      <c r="B1653" s="1798" t="s">
        <v>7</v>
      </c>
      <c r="C1653" s="1798">
        <v>88248</v>
      </c>
      <c r="D1653" s="1799" t="s">
        <v>101</v>
      </c>
      <c r="E1653" s="1800" t="s">
        <v>411</v>
      </c>
      <c r="F1653" s="1807">
        <v>0.13589999999999999</v>
      </c>
      <c r="G1653" s="1801">
        <v>20.16</v>
      </c>
      <c r="H1653" s="1802">
        <f t="shared" si="229"/>
        <v>20.16</v>
      </c>
      <c r="I1653" s="1803">
        <f t="shared" si="230"/>
        <v>2.73</v>
      </c>
      <c r="J1653" s="1795"/>
    </row>
    <row r="1654" spans="1:10" ht="24">
      <c r="A1654" s="1797" t="s">
        <v>2476</v>
      </c>
      <c r="B1654" s="1798" t="s">
        <v>7</v>
      </c>
      <c r="C1654" s="1798">
        <v>88267</v>
      </c>
      <c r="D1654" s="1799" t="s">
        <v>102</v>
      </c>
      <c r="E1654" s="1800" t="s">
        <v>411</v>
      </c>
      <c r="F1654" s="1807">
        <v>0.13589999999999999</v>
      </c>
      <c r="G1654" s="1801">
        <v>24.64</v>
      </c>
      <c r="H1654" s="1802">
        <f t="shared" si="229"/>
        <v>24.64</v>
      </c>
      <c r="I1654" s="1803">
        <f t="shared" si="230"/>
        <v>3.34</v>
      </c>
      <c r="J1654" s="1795"/>
    </row>
    <row r="1655" spans="1:10">
      <c r="A1655" s="1943" t="s">
        <v>2477</v>
      </c>
      <c r="B1655" s="1944"/>
      <c r="C1655" s="1944"/>
      <c r="D1655" s="1944"/>
      <c r="E1655" s="1944"/>
      <c r="F1655" s="1944"/>
      <c r="G1655" s="1944"/>
      <c r="H1655" s="1945"/>
      <c r="I1655" s="1805">
        <f>SUM(I1649:I1654)</f>
        <v>8.379999999999999</v>
      </c>
      <c r="J1655" s="1795"/>
    </row>
    <row r="1656" spans="1:10">
      <c r="A1656" s="1929"/>
      <c r="B1656" s="1930"/>
      <c r="C1656" s="1930"/>
      <c r="D1656" s="1930"/>
      <c r="E1656" s="1930"/>
      <c r="F1656" s="1930"/>
      <c r="G1656" s="1930"/>
      <c r="H1656" s="1930"/>
      <c r="I1656" s="1931"/>
      <c r="J1656" s="1795"/>
    </row>
    <row r="1657" spans="1:10" ht="25.5" customHeight="1">
      <c r="A1657" s="1784" t="str">
        <f>'PLANILHA SEM DESON'!B261</f>
        <v>COMP HIDR 01</v>
      </c>
      <c r="B1657" s="1940" t="str">
        <f>VLOOKUP(A1657,'PLANILHA SEM DESON'!$B$17:$D$1700,2,FALSE)</f>
        <v xml:space="preserve">JOELHO 90 GRAUS, PVC, SOLDÁVEL - ÁGUA FRIA, DN 50MM,FORNECIMENTO E INSTALAÇÃO. </v>
      </c>
      <c r="C1657" s="1941"/>
      <c r="D1657" s="1941"/>
      <c r="E1657" s="1941"/>
      <c r="F1657" s="1941"/>
      <c r="G1657" s="1941"/>
      <c r="H1657" s="1942"/>
      <c r="I1657" s="1785" t="str">
        <f>VLOOKUP(A1657,'PLANILHA SEM DESON'!$B$17:$D$1700,3,FALSE)</f>
        <v xml:space="preserve">un </v>
      </c>
      <c r="J1657" s="1786">
        <f>I1665</f>
        <v>15.120000000000001</v>
      </c>
    </row>
    <row r="1658" spans="1:10" ht="24">
      <c r="A1658" s="1788" t="s">
        <v>2470</v>
      </c>
      <c r="B1658" s="1789" t="s">
        <v>2471</v>
      </c>
      <c r="C1658" s="1790" t="s">
        <v>2468</v>
      </c>
      <c r="D1658" s="1791" t="s">
        <v>308</v>
      </c>
      <c r="E1658" s="1790" t="s">
        <v>202</v>
      </c>
      <c r="F1658" s="1792" t="s">
        <v>2472</v>
      </c>
      <c r="G1658" s="1790" t="s">
        <v>2473</v>
      </c>
      <c r="H1658" s="1793" t="s">
        <v>2474</v>
      </c>
      <c r="I1658" s="1794" t="s">
        <v>2475</v>
      </c>
      <c r="J1658" s="1795"/>
    </row>
    <row r="1659" spans="1:10" ht="24">
      <c r="A1659" s="1797"/>
      <c r="B1659" s="1798"/>
      <c r="C1659" s="1798" t="s">
        <v>461</v>
      </c>
      <c r="D1659" s="1799" t="s">
        <v>101</v>
      </c>
      <c r="E1659" s="1800" t="s">
        <v>57</v>
      </c>
      <c r="F1659" s="1817">
        <v>0.108</v>
      </c>
      <c r="G1659" s="1808">
        <v>20.16</v>
      </c>
      <c r="H1659" s="1802">
        <f t="shared" ref="H1659:H1664" si="231">IF(E1659="H",G1659,TRUNC(G1659*(1-$K$7),2))</f>
        <v>20.16</v>
      </c>
      <c r="I1659" s="1803">
        <f t="shared" ref="I1659:I1664" si="232">TRUNC(H1659*F1659,2)</f>
        <v>2.17</v>
      </c>
      <c r="J1659" s="1795"/>
    </row>
    <row r="1660" spans="1:10" ht="24">
      <c r="A1660" s="1797"/>
      <c r="B1660" s="1798"/>
      <c r="C1660" s="1798" t="s">
        <v>462</v>
      </c>
      <c r="D1660" s="1799" t="s">
        <v>102</v>
      </c>
      <c r="E1660" s="1800" t="s">
        <v>57</v>
      </c>
      <c r="F1660" s="1817">
        <v>0.108</v>
      </c>
      <c r="G1660" s="1808">
        <v>24.64</v>
      </c>
      <c r="H1660" s="1802">
        <f t="shared" si="231"/>
        <v>24.64</v>
      </c>
      <c r="I1660" s="1803">
        <f t="shared" si="232"/>
        <v>2.66</v>
      </c>
      <c r="J1660" s="1795"/>
    </row>
    <row r="1661" spans="1:10">
      <c r="A1661" s="1797"/>
      <c r="B1661" s="1798"/>
      <c r="C1661" s="1798" t="s">
        <v>463</v>
      </c>
      <c r="D1661" s="1799" t="s">
        <v>125</v>
      </c>
      <c r="E1661" s="1800" t="s">
        <v>55</v>
      </c>
      <c r="F1661" s="1818">
        <v>1.7999999999999999E-2</v>
      </c>
      <c r="G1661" s="1806">
        <v>76.86</v>
      </c>
      <c r="H1661" s="1802">
        <f t="shared" si="231"/>
        <v>76.459999999999994</v>
      </c>
      <c r="I1661" s="1803">
        <f t="shared" si="232"/>
        <v>1.37</v>
      </c>
      <c r="J1661" s="1795"/>
    </row>
    <row r="1662" spans="1:10" ht="24">
      <c r="A1662" s="1797"/>
      <c r="B1662" s="1798"/>
      <c r="C1662" s="1798" t="s">
        <v>464</v>
      </c>
      <c r="D1662" s="1799" t="s">
        <v>465</v>
      </c>
      <c r="E1662" s="1800" t="s">
        <v>55</v>
      </c>
      <c r="F1662" s="1818">
        <v>1</v>
      </c>
      <c r="G1662" s="1806">
        <v>7</v>
      </c>
      <c r="H1662" s="1802">
        <f t="shared" si="231"/>
        <v>6.96</v>
      </c>
      <c r="I1662" s="1803">
        <f t="shared" si="232"/>
        <v>6.96</v>
      </c>
      <c r="J1662" s="1795"/>
    </row>
    <row r="1663" spans="1:10" ht="24">
      <c r="A1663" s="1797"/>
      <c r="B1663" s="1798"/>
      <c r="C1663" s="1798" t="s">
        <v>466</v>
      </c>
      <c r="D1663" s="1799" t="s">
        <v>126</v>
      </c>
      <c r="E1663" s="1800" t="s">
        <v>55</v>
      </c>
      <c r="F1663" s="1817">
        <v>2.1999999999999999E-2</v>
      </c>
      <c r="G1663" s="1806">
        <v>87.08</v>
      </c>
      <c r="H1663" s="1802">
        <f t="shared" si="231"/>
        <v>86.63</v>
      </c>
      <c r="I1663" s="1803">
        <f t="shared" si="232"/>
        <v>1.9</v>
      </c>
      <c r="J1663" s="1795"/>
    </row>
    <row r="1664" spans="1:10">
      <c r="A1664" s="1797"/>
      <c r="B1664" s="1798"/>
      <c r="C1664" s="1798" t="s">
        <v>467</v>
      </c>
      <c r="D1664" s="1799" t="s">
        <v>171</v>
      </c>
      <c r="E1664" s="1800" t="s">
        <v>55</v>
      </c>
      <c r="F1664" s="1817">
        <v>2.4E-2</v>
      </c>
      <c r="G1664" s="1806">
        <v>2.56</v>
      </c>
      <c r="H1664" s="1802">
        <f t="shared" si="231"/>
        <v>2.54</v>
      </c>
      <c r="I1664" s="1803">
        <f t="shared" si="232"/>
        <v>0.06</v>
      </c>
      <c r="J1664" s="1795"/>
    </row>
    <row r="1665" spans="1:10">
      <c r="A1665" s="1943" t="s">
        <v>2477</v>
      </c>
      <c r="B1665" s="1944"/>
      <c r="C1665" s="1944"/>
      <c r="D1665" s="1944"/>
      <c r="E1665" s="1944"/>
      <c r="F1665" s="1944"/>
      <c r="G1665" s="1944"/>
      <c r="H1665" s="1945"/>
      <c r="I1665" s="1805">
        <f>SUM(I1659:I1664)</f>
        <v>15.120000000000001</v>
      </c>
      <c r="J1665" s="1795"/>
    </row>
    <row r="1666" spans="1:10">
      <c r="A1666" s="1929"/>
      <c r="B1666" s="1930"/>
      <c r="C1666" s="1930"/>
      <c r="D1666" s="1930"/>
      <c r="E1666" s="1930"/>
      <c r="F1666" s="1930"/>
      <c r="G1666" s="1930"/>
      <c r="H1666" s="1930"/>
      <c r="I1666" s="1931"/>
      <c r="J1666" s="1795"/>
    </row>
    <row r="1667" spans="1:10" ht="26.25" customHeight="1">
      <c r="A1667" s="1784" t="str">
        <f>'PLANILHA SEM DESON'!B262</f>
        <v>COMP HIDR 02</v>
      </c>
      <c r="B1667" s="1940" t="str">
        <f>VLOOKUP(A1667,'PLANILHA SEM DESON'!$B$17:$D$1700,2,FALSE)</f>
        <v>JOELHO DE REDUCAO, PVC SOLDAVEL, 90 GRAUS, 32 MM X 25 MM, PARA AGUA FRIA PREDIAL</v>
      </c>
      <c r="C1667" s="1941"/>
      <c r="D1667" s="1941"/>
      <c r="E1667" s="1941"/>
      <c r="F1667" s="1941"/>
      <c r="G1667" s="1941"/>
      <c r="H1667" s="1942"/>
      <c r="I1667" s="1785" t="str">
        <f>VLOOKUP(A1667,'PLANILHA SEM DESON'!$B$17:$D$1700,3,FALSE)</f>
        <v xml:space="preserve">un </v>
      </c>
      <c r="J1667" s="1786">
        <f>I1675</f>
        <v>15.35</v>
      </c>
    </row>
    <row r="1668" spans="1:10" ht="24">
      <c r="A1668" s="1788" t="s">
        <v>2470</v>
      </c>
      <c r="B1668" s="1789" t="s">
        <v>2471</v>
      </c>
      <c r="C1668" s="1790" t="s">
        <v>2468</v>
      </c>
      <c r="D1668" s="1791" t="s">
        <v>308</v>
      </c>
      <c r="E1668" s="1790" t="s">
        <v>202</v>
      </c>
      <c r="F1668" s="1792" t="s">
        <v>2472</v>
      </c>
      <c r="G1668" s="1790" t="s">
        <v>2473</v>
      </c>
      <c r="H1668" s="1793" t="s">
        <v>2474</v>
      </c>
      <c r="I1668" s="1794" t="s">
        <v>2475</v>
      </c>
      <c r="J1668" s="1795"/>
    </row>
    <row r="1669" spans="1:10" ht="24">
      <c r="A1669" s="1797"/>
      <c r="B1669" s="1798"/>
      <c r="C1669" s="1798" t="s">
        <v>461</v>
      </c>
      <c r="D1669" s="1799" t="s">
        <v>101</v>
      </c>
      <c r="E1669" s="1800" t="s">
        <v>57</v>
      </c>
      <c r="F1669" s="1817">
        <v>0.108</v>
      </c>
      <c r="G1669" s="1808">
        <v>20.16</v>
      </c>
      <c r="H1669" s="1802">
        <f t="shared" ref="H1669:H1674" si="233">IF(E1669="H",G1669,TRUNC(G1669*(1-$K$7),2))</f>
        <v>20.16</v>
      </c>
      <c r="I1669" s="1803">
        <f t="shared" ref="I1669:I1674" si="234">TRUNC(H1669*F1669,2)</f>
        <v>2.17</v>
      </c>
      <c r="J1669" s="1795"/>
    </row>
    <row r="1670" spans="1:10" ht="24">
      <c r="A1670" s="1797"/>
      <c r="B1670" s="1798"/>
      <c r="C1670" s="1798" t="s">
        <v>462</v>
      </c>
      <c r="D1670" s="1799" t="s">
        <v>102</v>
      </c>
      <c r="E1670" s="1800" t="s">
        <v>57</v>
      </c>
      <c r="F1670" s="1817">
        <v>0.108</v>
      </c>
      <c r="G1670" s="1808">
        <v>24.64</v>
      </c>
      <c r="H1670" s="1802">
        <f t="shared" si="233"/>
        <v>24.64</v>
      </c>
      <c r="I1670" s="1803">
        <f t="shared" si="234"/>
        <v>2.66</v>
      </c>
      <c r="J1670" s="1795"/>
    </row>
    <row r="1671" spans="1:10">
      <c r="A1671" s="1797"/>
      <c r="B1671" s="1798"/>
      <c r="C1671" s="1798" t="s">
        <v>463</v>
      </c>
      <c r="D1671" s="1799" t="s">
        <v>125</v>
      </c>
      <c r="E1671" s="1800" t="s">
        <v>55</v>
      </c>
      <c r="F1671" s="1818">
        <v>1.7999999999999999E-2</v>
      </c>
      <c r="G1671" s="1806">
        <v>76.86</v>
      </c>
      <c r="H1671" s="1802">
        <f t="shared" si="233"/>
        <v>76.459999999999994</v>
      </c>
      <c r="I1671" s="1803">
        <f t="shared" si="234"/>
        <v>1.37</v>
      </c>
      <c r="J1671" s="1795"/>
    </row>
    <row r="1672" spans="1:10" ht="24">
      <c r="A1672" s="1797"/>
      <c r="B1672" s="1798"/>
      <c r="C1672" s="1798">
        <v>3538</v>
      </c>
      <c r="D1672" s="1799" t="s">
        <v>1807</v>
      </c>
      <c r="E1672" s="1800" t="s">
        <v>55</v>
      </c>
      <c r="F1672" s="1818">
        <v>1</v>
      </c>
      <c r="G1672" s="1806">
        <v>7.26</v>
      </c>
      <c r="H1672" s="1802">
        <f t="shared" si="233"/>
        <v>7.22</v>
      </c>
      <c r="I1672" s="1803">
        <f t="shared" si="234"/>
        <v>7.22</v>
      </c>
      <c r="J1672" s="1795"/>
    </row>
    <row r="1673" spans="1:10" ht="24">
      <c r="A1673" s="1797"/>
      <c r="B1673" s="1798"/>
      <c r="C1673" s="1798" t="s">
        <v>466</v>
      </c>
      <c r="D1673" s="1799" t="s">
        <v>126</v>
      </c>
      <c r="E1673" s="1800" t="s">
        <v>55</v>
      </c>
      <c r="F1673" s="1817">
        <v>2.1999999999999999E-2</v>
      </c>
      <c r="G1673" s="1806">
        <v>87.08</v>
      </c>
      <c r="H1673" s="1802">
        <f t="shared" si="233"/>
        <v>86.63</v>
      </c>
      <c r="I1673" s="1803">
        <f t="shared" si="234"/>
        <v>1.9</v>
      </c>
      <c r="J1673" s="1795"/>
    </row>
    <row r="1674" spans="1:10" ht="24">
      <c r="A1674" s="1797"/>
      <c r="B1674" s="1798"/>
      <c r="C1674" s="1798">
        <v>3767</v>
      </c>
      <c r="D1674" s="1799" t="s">
        <v>176</v>
      </c>
      <c r="E1674" s="1800" t="s">
        <v>55</v>
      </c>
      <c r="F1674" s="1817">
        <v>2.4E-2</v>
      </c>
      <c r="G1674" s="1806">
        <v>1.35</v>
      </c>
      <c r="H1674" s="1802">
        <f t="shared" si="233"/>
        <v>1.34</v>
      </c>
      <c r="I1674" s="1803">
        <f t="shared" si="234"/>
        <v>0.03</v>
      </c>
      <c r="J1674" s="1795"/>
    </row>
    <row r="1675" spans="1:10">
      <c r="A1675" s="1943" t="s">
        <v>2477</v>
      </c>
      <c r="B1675" s="1944"/>
      <c r="C1675" s="1944"/>
      <c r="D1675" s="1944"/>
      <c r="E1675" s="1944"/>
      <c r="F1675" s="1944"/>
      <c r="G1675" s="1944"/>
      <c r="H1675" s="1945"/>
      <c r="I1675" s="1805">
        <f>SUM(I1669:I1674)</f>
        <v>15.35</v>
      </c>
      <c r="J1675" s="1795"/>
    </row>
    <row r="1676" spans="1:10">
      <c r="A1676" s="1929"/>
      <c r="B1676" s="1930"/>
      <c r="C1676" s="1930"/>
      <c r="D1676" s="1930"/>
      <c r="E1676" s="1930"/>
      <c r="F1676" s="1930"/>
      <c r="G1676" s="1930"/>
      <c r="H1676" s="1930"/>
      <c r="I1676" s="1931"/>
      <c r="J1676" s="1795"/>
    </row>
    <row r="1677" spans="1:10" ht="24" customHeight="1">
      <c r="A1677" s="1784" t="str">
        <f>'PLANILHA SEM DESON'!B263</f>
        <v>COMP HIDR 03</v>
      </c>
      <c r="B1677" s="1940" t="str">
        <f>VLOOKUP(A1677,'PLANILHA SEM DESON'!$B$17:$D$1700,2,FALSE)</f>
        <v>JOELHO DE REDUÇÃO 90 GRAUS SOLDÁVEL COM BUCHA DE LATÃO 3/4" - 1/2"</v>
      </c>
      <c r="C1677" s="1941"/>
      <c r="D1677" s="1941"/>
      <c r="E1677" s="1941"/>
      <c r="F1677" s="1941"/>
      <c r="G1677" s="1941"/>
      <c r="H1677" s="1942"/>
      <c r="I1677" s="1785" t="str">
        <f>VLOOKUP(A1677,'PLANILHA SEM DESON'!$B$17:$D$1700,3,FALSE)</f>
        <v xml:space="preserve">un </v>
      </c>
      <c r="J1677" s="1786">
        <f>I1685</f>
        <v>127.15</v>
      </c>
    </row>
    <row r="1678" spans="1:10" ht="24">
      <c r="A1678" s="1788" t="s">
        <v>2470</v>
      </c>
      <c r="B1678" s="1789" t="s">
        <v>2471</v>
      </c>
      <c r="C1678" s="1790" t="s">
        <v>2468</v>
      </c>
      <c r="D1678" s="1791" t="s">
        <v>308</v>
      </c>
      <c r="E1678" s="1790" t="s">
        <v>202</v>
      </c>
      <c r="F1678" s="1792" t="s">
        <v>2472</v>
      </c>
      <c r="G1678" s="1790" t="s">
        <v>2473</v>
      </c>
      <c r="H1678" s="1793" t="s">
        <v>2474</v>
      </c>
      <c r="I1678" s="1794" t="s">
        <v>2475</v>
      </c>
      <c r="J1678" s="1795"/>
    </row>
    <row r="1679" spans="1:10" ht="24">
      <c r="A1679" s="1797"/>
      <c r="B1679" s="1798"/>
      <c r="C1679" s="1798" t="s">
        <v>461</v>
      </c>
      <c r="D1679" s="1799" t="s">
        <v>101</v>
      </c>
      <c r="E1679" s="1800" t="s">
        <v>57</v>
      </c>
      <c r="F1679" s="1817">
        <v>0.108</v>
      </c>
      <c r="G1679" s="1808">
        <v>20.16</v>
      </c>
      <c r="H1679" s="1802">
        <f t="shared" ref="H1679:H1684" si="235">IF(E1679="H",G1679,TRUNC(G1679*(1-$K$7),2))</f>
        <v>20.16</v>
      </c>
      <c r="I1679" s="1803">
        <f t="shared" ref="I1679:I1684" si="236">TRUNC(H1679*F1679,2)</f>
        <v>2.17</v>
      </c>
      <c r="J1679" s="1795"/>
    </row>
    <row r="1680" spans="1:10" ht="24">
      <c r="A1680" s="1797"/>
      <c r="B1680" s="1798"/>
      <c r="C1680" s="1798" t="s">
        <v>462</v>
      </c>
      <c r="D1680" s="1799" t="s">
        <v>102</v>
      </c>
      <c r="E1680" s="1800" t="s">
        <v>57</v>
      </c>
      <c r="F1680" s="1817">
        <v>0.108</v>
      </c>
      <c r="G1680" s="1808">
        <v>24.64</v>
      </c>
      <c r="H1680" s="1802">
        <f t="shared" si="235"/>
        <v>24.64</v>
      </c>
      <c r="I1680" s="1803">
        <f t="shared" si="236"/>
        <v>2.66</v>
      </c>
      <c r="J1680" s="1795"/>
    </row>
    <row r="1681" spans="1:10">
      <c r="A1681" s="1797"/>
      <c r="B1681" s="1798"/>
      <c r="C1681" s="1798" t="s">
        <v>463</v>
      </c>
      <c r="D1681" s="1799" t="s">
        <v>125</v>
      </c>
      <c r="E1681" s="1800" t="s">
        <v>55</v>
      </c>
      <c r="F1681" s="1818">
        <v>1.7999999999999999E-2</v>
      </c>
      <c r="G1681" s="1806">
        <v>76.86</v>
      </c>
      <c r="H1681" s="1802">
        <f t="shared" si="235"/>
        <v>76.459999999999994</v>
      </c>
      <c r="I1681" s="1803">
        <f t="shared" si="236"/>
        <v>1.37</v>
      </c>
      <c r="J1681" s="1795"/>
    </row>
    <row r="1682" spans="1:10" ht="24">
      <c r="A1682" s="1797"/>
      <c r="B1682" s="1798"/>
      <c r="C1682" s="1798">
        <v>3511</v>
      </c>
      <c r="D1682" s="1799" t="s">
        <v>469</v>
      </c>
      <c r="E1682" s="1800" t="s">
        <v>55</v>
      </c>
      <c r="F1682" s="1818">
        <v>1</v>
      </c>
      <c r="G1682" s="1806">
        <v>119.64</v>
      </c>
      <c r="H1682" s="1802">
        <f t="shared" si="235"/>
        <v>119.02</v>
      </c>
      <c r="I1682" s="1803">
        <f t="shared" si="236"/>
        <v>119.02</v>
      </c>
      <c r="J1682" s="1795"/>
    </row>
    <row r="1683" spans="1:10" ht="24">
      <c r="A1683" s="1797"/>
      <c r="B1683" s="1798"/>
      <c r="C1683" s="1798" t="s">
        <v>466</v>
      </c>
      <c r="D1683" s="1799" t="s">
        <v>126</v>
      </c>
      <c r="E1683" s="1800" t="s">
        <v>55</v>
      </c>
      <c r="F1683" s="1817">
        <v>2.1999999999999999E-2</v>
      </c>
      <c r="G1683" s="1806">
        <v>87.08</v>
      </c>
      <c r="H1683" s="1802">
        <f t="shared" si="235"/>
        <v>86.63</v>
      </c>
      <c r="I1683" s="1803">
        <f t="shared" si="236"/>
        <v>1.9</v>
      </c>
      <c r="J1683" s="1795"/>
    </row>
    <row r="1684" spans="1:10" ht="24">
      <c r="A1684" s="1797"/>
      <c r="B1684" s="1798"/>
      <c r="C1684" s="1798">
        <v>3767</v>
      </c>
      <c r="D1684" s="1799" t="s">
        <v>176</v>
      </c>
      <c r="E1684" s="1800" t="s">
        <v>55</v>
      </c>
      <c r="F1684" s="1817">
        <v>2.4E-2</v>
      </c>
      <c r="G1684" s="1806">
        <v>1.35</v>
      </c>
      <c r="H1684" s="1802">
        <f t="shared" si="235"/>
        <v>1.34</v>
      </c>
      <c r="I1684" s="1803">
        <f t="shared" si="236"/>
        <v>0.03</v>
      </c>
      <c r="J1684" s="1795"/>
    </row>
    <row r="1685" spans="1:10">
      <c r="A1685" s="1943" t="s">
        <v>2477</v>
      </c>
      <c r="B1685" s="1944"/>
      <c r="C1685" s="1944"/>
      <c r="D1685" s="1944"/>
      <c r="E1685" s="1944"/>
      <c r="F1685" s="1944"/>
      <c r="G1685" s="1944"/>
      <c r="H1685" s="1945"/>
      <c r="I1685" s="1805">
        <f>SUM(I1679:I1684)</f>
        <v>127.15</v>
      </c>
      <c r="J1685" s="1795"/>
    </row>
    <row r="1686" spans="1:10">
      <c r="A1686" s="1929"/>
      <c r="B1686" s="1930"/>
      <c r="C1686" s="1930"/>
      <c r="D1686" s="1930"/>
      <c r="E1686" s="1930"/>
      <c r="F1686" s="1930"/>
      <c r="G1686" s="1930"/>
      <c r="H1686" s="1930"/>
      <c r="I1686" s="1931"/>
      <c r="J1686" s="1795"/>
    </row>
    <row r="1687" spans="1:10" ht="24.75" customHeight="1">
      <c r="A1687" s="1784" t="str">
        <f>'PLANILHA SEM DESON'!B264</f>
        <v>COMP HIDR 04</v>
      </c>
      <c r="B1687" s="1940" t="str">
        <f>VLOOKUP(A1687,'PLANILHA SEM DESON'!$B$17:$D$1700,2,FALSE)</f>
        <v>COLAR TOMADA PVC,C/ TRAVAS, SAÍDA C/ ROSCAS, DE 75MMX3/4"  PARA LIGAÇÃO PREDIAL DE  ÁGUA.</v>
      </c>
      <c r="C1687" s="1941"/>
      <c r="D1687" s="1941"/>
      <c r="E1687" s="1941"/>
      <c r="F1687" s="1941"/>
      <c r="G1687" s="1941"/>
      <c r="H1687" s="1942"/>
      <c r="I1687" s="1785" t="str">
        <f>VLOOKUP(A1687,'PLANILHA SEM DESON'!$B$17:$D$1700,3,FALSE)</f>
        <v xml:space="preserve">un </v>
      </c>
      <c r="J1687" s="1786">
        <f>I1694</f>
        <v>51.15</v>
      </c>
    </row>
    <row r="1688" spans="1:10" ht="24">
      <c r="A1688" s="1788" t="s">
        <v>2470</v>
      </c>
      <c r="B1688" s="1789" t="s">
        <v>2471</v>
      </c>
      <c r="C1688" s="1790" t="s">
        <v>2468</v>
      </c>
      <c r="D1688" s="1791" t="s">
        <v>308</v>
      </c>
      <c r="E1688" s="1790" t="s">
        <v>202</v>
      </c>
      <c r="F1688" s="1792" t="s">
        <v>2472</v>
      </c>
      <c r="G1688" s="1790" t="s">
        <v>2473</v>
      </c>
      <c r="H1688" s="1793" t="s">
        <v>2474</v>
      </c>
      <c r="I1688" s="1794" t="s">
        <v>2475</v>
      </c>
      <c r="J1688" s="1795"/>
    </row>
    <row r="1689" spans="1:10" ht="24">
      <c r="A1689" s="1797"/>
      <c r="B1689" s="1798"/>
      <c r="C1689" s="1798" t="s">
        <v>461</v>
      </c>
      <c r="D1689" s="1799" t="s">
        <v>101</v>
      </c>
      <c r="E1689" s="1800" t="s">
        <v>57</v>
      </c>
      <c r="F1689" s="1817">
        <v>0.6</v>
      </c>
      <c r="G1689" s="1808">
        <v>20.16</v>
      </c>
      <c r="H1689" s="1802">
        <f>IF(E1689="H",G1689,TRUNC(G1689*(1-$K$7),2))</f>
        <v>20.16</v>
      </c>
      <c r="I1689" s="1803">
        <f t="shared" ref="I1689:I1693" si="237">TRUNC(H1689*F1689,2)</f>
        <v>12.09</v>
      </c>
      <c r="J1689" s="1795"/>
    </row>
    <row r="1690" spans="1:10" ht="24">
      <c r="A1690" s="1797"/>
      <c r="B1690" s="1798"/>
      <c r="C1690" s="1798" t="s">
        <v>462</v>
      </c>
      <c r="D1690" s="1799" t="s">
        <v>102</v>
      </c>
      <c r="E1690" s="1800" t="s">
        <v>57</v>
      </c>
      <c r="F1690" s="1817">
        <v>0.6</v>
      </c>
      <c r="G1690" s="1808">
        <v>24.64</v>
      </c>
      <c r="H1690" s="1802">
        <f>IF(E1690="H",G1690,TRUNC(G1690*(1-$K$7),2))</f>
        <v>24.64</v>
      </c>
      <c r="I1690" s="1803">
        <f t="shared" si="237"/>
        <v>14.78</v>
      </c>
      <c r="J1690" s="1795"/>
    </row>
    <row r="1691" spans="1:10" ht="36">
      <c r="A1691" s="1797"/>
      <c r="B1691" s="1798"/>
      <c r="C1691" s="1798">
        <v>1413</v>
      </c>
      <c r="D1691" s="1799" t="s">
        <v>1805</v>
      </c>
      <c r="E1691" s="1800" t="s">
        <v>55</v>
      </c>
      <c r="F1691" s="1818">
        <v>1</v>
      </c>
      <c r="G1691" s="1806">
        <v>16.72</v>
      </c>
      <c r="H1691" s="1802">
        <f>IF(E1691="H",G1691,TRUNC(G1691*(1-$K$7),2))</f>
        <v>16.63</v>
      </c>
      <c r="I1691" s="1803">
        <f t="shared" si="237"/>
        <v>16.63</v>
      </c>
      <c r="J1691" s="1795"/>
    </row>
    <row r="1692" spans="1:10">
      <c r="A1692" s="1797"/>
      <c r="B1692" s="1798"/>
      <c r="C1692" s="1798">
        <v>3148</v>
      </c>
      <c r="D1692" s="1799" t="s">
        <v>477</v>
      </c>
      <c r="E1692" s="1800" t="s">
        <v>55</v>
      </c>
      <c r="F1692" s="1818">
        <v>8.9999999999999993E-3</v>
      </c>
      <c r="G1692" s="1806">
        <v>17.989999999999998</v>
      </c>
      <c r="H1692" s="1802">
        <f>IF(E1692="H",G1692,TRUNC(G1692*(1-$K$7),2))</f>
        <v>17.89</v>
      </c>
      <c r="I1692" s="1803">
        <f t="shared" si="237"/>
        <v>0.16</v>
      </c>
      <c r="J1692" s="1795"/>
    </row>
    <row r="1693" spans="1:10" ht="24">
      <c r="A1693" s="1797"/>
      <c r="B1693" s="1798"/>
      <c r="C1693" s="1798">
        <v>3907</v>
      </c>
      <c r="D1693" s="1799" t="s">
        <v>1806</v>
      </c>
      <c r="E1693" s="1800" t="s">
        <v>55</v>
      </c>
      <c r="F1693" s="1817">
        <v>1</v>
      </c>
      <c r="G1693" s="1806">
        <v>7.53</v>
      </c>
      <c r="H1693" s="1802">
        <f>IF(E1693="H",G1693,TRUNC(G1693*(1-$K$7),2))</f>
        <v>7.49</v>
      </c>
      <c r="I1693" s="1803">
        <f t="shared" si="237"/>
        <v>7.49</v>
      </c>
      <c r="J1693" s="1795"/>
    </row>
    <row r="1694" spans="1:10">
      <c r="A1694" s="1943" t="s">
        <v>2477</v>
      </c>
      <c r="B1694" s="1944"/>
      <c r="C1694" s="1944"/>
      <c r="D1694" s="1944"/>
      <c r="E1694" s="1944"/>
      <c r="F1694" s="1944"/>
      <c r="G1694" s="1944"/>
      <c r="H1694" s="1945"/>
      <c r="I1694" s="1805">
        <f>SUM(I1689:I1693)</f>
        <v>51.15</v>
      </c>
      <c r="J1694" s="1795"/>
    </row>
    <row r="1695" spans="1:10">
      <c r="A1695" s="1929"/>
      <c r="B1695" s="1930"/>
      <c r="C1695" s="1930"/>
      <c r="D1695" s="1930"/>
      <c r="E1695" s="1930"/>
      <c r="F1695" s="1930"/>
      <c r="G1695" s="1930"/>
      <c r="H1695" s="1930"/>
      <c r="I1695" s="1931"/>
      <c r="J1695" s="1795"/>
    </row>
    <row r="1696" spans="1:10" ht="24" customHeight="1">
      <c r="A1696" s="1784">
        <f>'PLANILHA SEM DESON'!B265</f>
        <v>89378</v>
      </c>
      <c r="B1696" s="1940" t="str">
        <f>VLOOKUP(A1696,'PLANILHA SEM DESON'!$B$17:$D$1700,2,FALSE)</f>
        <v>LUVA, PVC, SOLDÁVEL, DN 25MM, INSTALADO EM RAMAL OU SUB-RAMAL DE ÁGUA - FORNECIMENTO E INSTALAÇÃO. AF_12/2014</v>
      </c>
      <c r="C1696" s="1941"/>
      <c r="D1696" s="1941"/>
      <c r="E1696" s="1941"/>
      <c r="F1696" s="1941"/>
      <c r="G1696" s="1941"/>
      <c r="H1696" s="1942"/>
      <c r="I1696" s="1785" t="str">
        <f>VLOOKUP(A1696,'PLANILHA SEM DESON'!$B$17:$D$1700,3,FALSE)</f>
        <v xml:space="preserve">un </v>
      </c>
      <c r="J1696" s="1786">
        <f>I1704</f>
        <v>6.98</v>
      </c>
    </row>
    <row r="1697" spans="1:10" ht="24">
      <c r="A1697" s="1788" t="s">
        <v>2470</v>
      </c>
      <c r="B1697" s="1789" t="s">
        <v>2471</v>
      </c>
      <c r="C1697" s="1790" t="s">
        <v>2468</v>
      </c>
      <c r="D1697" s="1791" t="s">
        <v>308</v>
      </c>
      <c r="E1697" s="1790" t="s">
        <v>202</v>
      </c>
      <c r="F1697" s="1792" t="s">
        <v>2472</v>
      </c>
      <c r="G1697" s="1790" t="s">
        <v>2473</v>
      </c>
      <c r="H1697" s="1793" t="s">
        <v>2474</v>
      </c>
      <c r="I1697" s="1794" t="s">
        <v>2475</v>
      </c>
      <c r="J1697" s="1795"/>
    </row>
    <row r="1698" spans="1:10">
      <c r="A1698" s="1797" t="s">
        <v>2476</v>
      </c>
      <c r="B1698" s="1798" t="s">
        <v>2479</v>
      </c>
      <c r="C1698" s="1798">
        <v>122</v>
      </c>
      <c r="D1698" s="1799" t="s">
        <v>2732</v>
      </c>
      <c r="E1698" s="1800" t="s">
        <v>2501</v>
      </c>
      <c r="F1698" s="1807">
        <v>7.1000000000000004E-3</v>
      </c>
      <c r="G1698" s="1801">
        <v>76.86</v>
      </c>
      <c r="H1698" s="1802">
        <f t="shared" ref="H1698:H1703" si="238">IF(E1698="H",G1698,TRUNC(G1698*(1-$K$7),2))</f>
        <v>76.459999999999994</v>
      </c>
      <c r="I1698" s="1803">
        <f t="shared" ref="I1698:I1703" si="239">TRUNC(H1698*F1698,2)</f>
        <v>0.54</v>
      </c>
      <c r="J1698" s="1795"/>
    </row>
    <row r="1699" spans="1:10">
      <c r="A1699" s="1797" t="s">
        <v>2476</v>
      </c>
      <c r="B1699" s="1798" t="s">
        <v>2479</v>
      </c>
      <c r="C1699" s="1798">
        <v>3904</v>
      </c>
      <c r="D1699" s="1799" t="s">
        <v>2734</v>
      </c>
      <c r="E1699" s="1800" t="s">
        <v>2501</v>
      </c>
      <c r="F1699" s="1807">
        <v>1</v>
      </c>
      <c r="G1699" s="1801">
        <v>1.1499999999999999</v>
      </c>
      <c r="H1699" s="1802">
        <f t="shared" si="238"/>
        <v>1.1399999999999999</v>
      </c>
      <c r="I1699" s="1803">
        <f t="shared" si="239"/>
        <v>1.1399999999999999</v>
      </c>
      <c r="J1699" s="1795"/>
    </row>
    <row r="1700" spans="1:10" ht="24">
      <c r="A1700" s="1797" t="s">
        <v>2476</v>
      </c>
      <c r="B1700" s="1798" t="s">
        <v>2479</v>
      </c>
      <c r="C1700" s="1798">
        <v>20083</v>
      </c>
      <c r="D1700" s="1799" t="s">
        <v>2606</v>
      </c>
      <c r="E1700" s="1800" t="s">
        <v>2501</v>
      </c>
      <c r="F1700" s="1807">
        <v>8.0000000000000002E-3</v>
      </c>
      <c r="G1700" s="1801">
        <v>87.08</v>
      </c>
      <c r="H1700" s="1802">
        <f t="shared" si="238"/>
        <v>86.63</v>
      </c>
      <c r="I1700" s="1803">
        <f t="shared" si="239"/>
        <v>0.69</v>
      </c>
      <c r="J1700" s="1795"/>
    </row>
    <row r="1701" spans="1:10">
      <c r="A1701" s="1797" t="s">
        <v>2476</v>
      </c>
      <c r="B1701" s="1798" t="s">
        <v>2479</v>
      </c>
      <c r="C1701" s="1798">
        <v>38383</v>
      </c>
      <c r="D1701" s="1799" t="s">
        <v>2607</v>
      </c>
      <c r="E1701" s="1800" t="s">
        <v>2501</v>
      </c>
      <c r="F1701" s="1807">
        <v>3.3799999999999997E-2</v>
      </c>
      <c r="G1701" s="1801">
        <v>2.56</v>
      </c>
      <c r="H1701" s="1802">
        <f t="shared" si="238"/>
        <v>2.54</v>
      </c>
      <c r="I1701" s="1803">
        <f t="shared" si="239"/>
        <v>0.08</v>
      </c>
      <c r="J1701" s="1795"/>
    </row>
    <row r="1702" spans="1:10" ht="24">
      <c r="A1702" s="1797" t="s">
        <v>2476</v>
      </c>
      <c r="B1702" s="1798" t="s">
        <v>7</v>
      </c>
      <c r="C1702" s="1798">
        <v>88248</v>
      </c>
      <c r="D1702" s="1799" t="s">
        <v>101</v>
      </c>
      <c r="E1702" s="1800" t="s">
        <v>411</v>
      </c>
      <c r="F1702" s="1807">
        <v>0.1013</v>
      </c>
      <c r="G1702" s="1801">
        <v>20.16</v>
      </c>
      <c r="H1702" s="1802">
        <f t="shared" si="238"/>
        <v>20.16</v>
      </c>
      <c r="I1702" s="1803">
        <f t="shared" si="239"/>
        <v>2.04</v>
      </c>
      <c r="J1702" s="1795"/>
    </row>
    <row r="1703" spans="1:10" ht="24">
      <c r="A1703" s="1797" t="s">
        <v>2476</v>
      </c>
      <c r="B1703" s="1798" t="s">
        <v>7</v>
      </c>
      <c r="C1703" s="1798">
        <v>88267</v>
      </c>
      <c r="D1703" s="1799" t="s">
        <v>102</v>
      </c>
      <c r="E1703" s="1800" t="s">
        <v>411</v>
      </c>
      <c r="F1703" s="1807">
        <v>0.1013</v>
      </c>
      <c r="G1703" s="1801">
        <v>24.64</v>
      </c>
      <c r="H1703" s="1802">
        <f t="shared" si="238"/>
        <v>24.64</v>
      </c>
      <c r="I1703" s="1803">
        <f t="shared" si="239"/>
        <v>2.4900000000000002</v>
      </c>
      <c r="J1703" s="1795"/>
    </row>
    <row r="1704" spans="1:10">
      <c r="A1704" s="1943" t="s">
        <v>2477</v>
      </c>
      <c r="B1704" s="1944"/>
      <c r="C1704" s="1944"/>
      <c r="D1704" s="1944"/>
      <c r="E1704" s="1944"/>
      <c r="F1704" s="1944"/>
      <c r="G1704" s="1944"/>
      <c r="H1704" s="1945"/>
      <c r="I1704" s="1805">
        <f>SUM(I1698:I1703)</f>
        <v>6.98</v>
      </c>
      <c r="J1704" s="1795"/>
    </row>
    <row r="1705" spans="1:10">
      <c r="A1705" s="1929"/>
      <c r="B1705" s="1930"/>
      <c r="C1705" s="1930"/>
      <c r="D1705" s="1930"/>
      <c r="E1705" s="1930"/>
      <c r="F1705" s="1930"/>
      <c r="G1705" s="1930"/>
      <c r="H1705" s="1930"/>
      <c r="I1705" s="1931"/>
      <c r="J1705" s="1795"/>
    </row>
    <row r="1706" spans="1:10" ht="29.25" customHeight="1">
      <c r="A1706" s="1784">
        <f>'PLANILHA SEM DESON'!B266</f>
        <v>89575</v>
      </c>
      <c r="B1706" s="1940" t="str">
        <f>VLOOKUP(A1706,'PLANILHA SEM DESON'!$B$17:$D$1700,2,FALSE)</f>
        <v>LUVA, PVC, SOLDÁVEL, DN 50MM, INSTALADO EM PRUMADA DE ÁGUA - FORNECIMENTO E INSTALAÇÃO. AF_12/2014</v>
      </c>
      <c r="C1706" s="1941"/>
      <c r="D1706" s="1941"/>
      <c r="E1706" s="1941"/>
      <c r="F1706" s="1941"/>
      <c r="G1706" s="1941"/>
      <c r="H1706" s="1942"/>
      <c r="I1706" s="1785" t="str">
        <f>VLOOKUP(A1706,'PLANILHA SEM DESON'!$B$17:$D$1700,3,FALSE)</f>
        <v xml:space="preserve">un </v>
      </c>
      <c r="J1706" s="1786">
        <f>I1714</f>
        <v>13.049999999999999</v>
      </c>
    </row>
    <row r="1707" spans="1:10" ht="24">
      <c r="A1707" s="1788" t="s">
        <v>2470</v>
      </c>
      <c r="B1707" s="1789" t="s">
        <v>2471</v>
      </c>
      <c r="C1707" s="1790" t="s">
        <v>2468</v>
      </c>
      <c r="D1707" s="1791" t="s">
        <v>308</v>
      </c>
      <c r="E1707" s="1790" t="s">
        <v>202</v>
      </c>
      <c r="F1707" s="1792" t="s">
        <v>2472</v>
      </c>
      <c r="G1707" s="1790" t="s">
        <v>2473</v>
      </c>
      <c r="H1707" s="1793" t="s">
        <v>2474</v>
      </c>
      <c r="I1707" s="1794" t="s">
        <v>2475</v>
      </c>
      <c r="J1707" s="1795"/>
    </row>
    <row r="1708" spans="1:10">
      <c r="A1708" s="1797" t="s">
        <v>2476</v>
      </c>
      <c r="B1708" s="1798" t="s">
        <v>2479</v>
      </c>
      <c r="C1708" s="1798">
        <v>122</v>
      </c>
      <c r="D1708" s="1799" t="s">
        <v>2732</v>
      </c>
      <c r="E1708" s="1800" t="s">
        <v>2501</v>
      </c>
      <c r="F1708" s="1807">
        <v>1.6500000000000001E-2</v>
      </c>
      <c r="G1708" s="1801">
        <v>76.86</v>
      </c>
      <c r="H1708" s="1802">
        <f t="shared" ref="H1708:H1713" si="240">IF(E1708="H",G1708,TRUNC(G1708*(1-$K$7),2))</f>
        <v>76.459999999999994</v>
      </c>
      <c r="I1708" s="1803">
        <f t="shared" ref="I1708:I1713" si="241">TRUNC(H1708*F1708,2)</f>
        <v>1.26</v>
      </c>
      <c r="J1708" s="1795"/>
    </row>
    <row r="1709" spans="1:10">
      <c r="A1709" s="1797" t="s">
        <v>2476</v>
      </c>
      <c r="B1709" s="1798" t="s">
        <v>2479</v>
      </c>
      <c r="C1709" s="1798">
        <v>3863</v>
      </c>
      <c r="D1709" s="1799" t="s">
        <v>2735</v>
      </c>
      <c r="E1709" s="1800" t="s">
        <v>2501</v>
      </c>
      <c r="F1709" s="1807">
        <v>1</v>
      </c>
      <c r="G1709" s="1801">
        <v>6.11</v>
      </c>
      <c r="H1709" s="1802">
        <f t="shared" si="240"/>
        <v>6.07</v>
      </c>
      <c r="I1709" s="1803">
        <f t="shared" si="241"/>
        <v>6.07</v>
      </c>
      <c r="J1709" s="1795"/>
    </row>
    <row r="1710" spans="1:10" ht="24">
      <c r="A1710" s="1797" t="s">
        <v>2476</v>
      </c>
      <c r="B1710" s="1798" t="s">
        <v>2479</v>
      </c>
      <c r="C1710" s="1798">
        <v>20083</v>
      </c>
      <c r="D1710" s="1799" t="s">
        <v>2606</v>
      </c>
      <c r="E1710" s="1800" t="s">
        <v>2501</v>
      </c>
      <c r="F1710" s="1807">
        <v>2.1999999999999999E-2</v>
      </c>
      <c r="G1710" s="1801">
        <v>87.08</v>
      </c>
      <c r="H1710" s="1802">
        <f t="shared" si="240"/>
        <v>86.63</v>
      </c>
      <c r="I1710" s="1803">
        <f t="shared" si="241"/>
        <v>1.9</v>
      </c>
      <c r="J1710" s="1795"/>
    </row>
    <row r="1711" spans="1:10">
      <c r="A1711" s="1797" t="s">
        <v>2476</v>
      </c>
      <c r="B1711" s="1798" t="s">
        <v>2479</v>
      </c>
      <c r="C1711" s="1798">
        <v>38383</v>
      </c>
      <c r="D1711" s="1799" t="s">
        <v>2607</v>
      </c>
      <c r="E1711" s="1800" t="s">
        <v>2501</v>
      </c>
      <c r="F1711" s="1807">
        <v>1.9E-2</v>
      </c>
      <c r="G1711" s="1801">
        <v>2.56</v>
      </c>
      <c r="H1711" s="1802">
        <f t="shared" si="240"/>
        <v>2.54</v>
      </c>
      <c r="I1711" s="1803">
        <f t="shared" si="241"/>
        <v>0.04</v>
      </c>
      <c r="J1711" s="1795"/>
    </row>
    <row r="1712" spans="1:10" ht="24">
      <c r="A1712" s="1797" t="s">
        <v>2476</v>
      </c>
      <c r="B1712" s="1798" t="s">
        <v>7</v>
      </c>
      <c r="C1712" s="1798">
        <v>88248</v>
      </c>
      <c r="D1712" s="1799" t="s">
        <v>101</v>
      </c>
      <c r="E1712" s="1800" t="s">
        <v>411</v>
      </c>
      <c r="F1712" s="1807">
        <v>8.4699999999999998E-2</v>
      </c>
      <c r="G1712" s="1801">
        <v>20.16</v>
      </c>
      <c r="H1712" s="1802">
        <f t="shared" si="240"/>
        <v>20.16</v>
      </c>
      <c r="I1712" s="1803">
        <f t="shared" si="241"/>
        <v>1.7</v>
      </c>
      <c r="J1712" s="1795"/>
    </row>
    <row r="1713" spans="1:10" ht="24">
      <c r="A1713" s="1797" t="s">
        <v>2476</v>
      </c>
      <c r="B1713" s="1798" t="s">
        <v>7</v>
      </c>
      <c r="C1713" s="1798">
        <v>88267</v>
      </c>
      <c r="D1713" s="1799" t="s">
        <v>102</v>
      </c>
      <c r="E1713" s="1800" t="s">
        <v>411</v>
      </c>
      <c r="F1713" s="1807">
        <v>8.4699999999999998E-2</v>
      </c>
      <c r="G1713" s="1801">
        <v>24.64</v>
      </c>
      <c r="H1713" s="1802">
        <f t="shared" si="240"/>
        <v>24.64</v>
      </c>
      <c r="I1713" s="1803">
        <f t="shared" si="241"/>
        <v>2.08</v>
      </c>
      <c r="J1713" s="1795"/>
    </row>
    <row r="1714" spans="1:10">
      <c r="A1714" s="1943" t="s">
        <v>2477</v>
      </c>
      <c r="B1714" s="1944"/>
      <c r="C1714" s="1944"/>
      <c r="D1714" s="1944"/>
      <c r="E1714" s="1944"/>
      <c r="F1714" s="1944"/>
      <c r="G1714" s="1944"/>
      <c r="H1714" s="1945"/>
      <c r="I1714" s="1805">
        <f>SUM(I1708:I1713)</f>
        <v>13.049999999999999</v>
      </c>
      <c r="J1714" s="1795"/>
    </row>
    <row r="1715" spans="1:10">
      <c r="A1715" s="1929"/>
      <c r="B1715" s="1930"/>
      <c r="C1715" s="1930"/>
      <c r="D1715" s="1930"/>
      <c r="E1715" s="1930"/>
      <c r="F1715" s="1930"/>
      <c r="G1715" s="1930"/>
      <c r="H1715" s="1930"/>
      <c r="I1715" s="1931"/>
      <c r="J1715" s="1795"/>
    </row>
    <row r="1716" spans="1:10" ht="24" customHeight="1">
      <c r="A1716" s="1784">
        <f>'PLANILHA SEM DESON'!B267</f>
        <v>89356</v>
      </c>
      <c r="B1716" s="1940" t="str">
        <f>VLOOKUP(A1716,'PLANILHA SEM DESON'!$B$17:$D$1700,2,FALSE)</f>
        <v>TUBO, PVC, SOLDÁVEL, DN 25MM, INSTALADO EM RAMAL OU SUB-RAMAL DE ÁGUA- FORNECIMENTO E INSTALAÇÃO. AF_12/2014</v>
      </c>
      <c r="C1716" s="1941"/>
      <c r="D1716" s="1941"/>
      <c r="E1716" s="1941"/>
      <c r="F1716" s="1941"/>
      <c r="G1716" s="1941"/>
      <c r="H1716" s="1942"/>
      <c r="I1716" s="1785" t="str">
        <f>VLOOKUP(A1716,'PLANILHA SEM DESON'!$B$17:$D$1700,3,FALSE)</f>
        <v>m</v>
      </c>
      <c r="J1716" s="1786">
        <f>I1722</f>
        <v>21.59</v>
      </c>
    </row>
    <row r="1717" spans="1:10" ht="24">
      <c r="A1717" s="1788" t="s">
        <v>2470</v>
      </c>
      <c r="B1717" s="1789" t="s">
        <v>2471</v>
      </c>
      <c r="C1717" s="1790" t="s">
        <v>2468</v>
      </c>
      <c r="D1717" s="1791" t="s">
        <v>308</v>
      </c>
      <c r="E1717" s="1790" t="s">
        <v>202</v>
      </c>
      <c r="F1717" s="1792" t="s">
        <v>2472</v>
      </c>
      <c r="G1717" s="1790" t="s">
        <v>2473</v>
      </c>
      <c r="H1717" s="1793" t="s">
        <v>2474</v>
      </c>
      <c r="I1717" s="1794" t="s">
        <v>2475</v>
      </c>
      <c r="J1717" s="1795"/>
    </row>
    <row r="1718" spans="1:10" ht="24">
      <c r="A1718" s="1797" t="s">
        <v>2476</v>
      </c>
      <c r="B1718" s="1798" t="s">
        <v>2479</v>
      </c>
      <c r="C1718" s="1798">
        <v>9868</v>
      </c>
      <c r="D1718" s="1799" t="s">
        <v>2736</v>
      </c>
      <c r="E1718" s="1800" t="s">
        <v>160</v>
      </c>
      <c r="F1718" s="1807">
        <v>1.0492999999999999</v>
      </c>
      <c r="G1718" s="1801">
        <v>5.82</v>
      </c>
      <c r="H1718" s="1802">
        <f>IF(E1718="H",G1718,TRUNC(G1718*(1-$K$7),2))</f>
        <v>5.79</v>
      </c>
      <c r="I1718" s="1803">
        <f t="shared" ref="I1718:I1721" si="242">TRUNC(H1718*F1718,2)</f>
        <v>6.07</v>
      </c>
      <c r="J1718" s="1795"/>
    </row>
    <row r="1719" spans="1:10">
      <c r="A1719" s="1797" t="s">
        <v>2476</v>
      </c>
      <c r="B1719" s="1798" t="s">
        <v>2479</v>
      </c>
      <c r="C1719" s="1798">
        <v>38383</v>
      </c>
      <c r="D1719" s="1799" t="s">
        <v>2607</v>
      </c>
      <c r="E1719" s="1800" t="s">
        <v>2501</v>
      </c>
      <c r="F1719" s="1807">
        <v>8.8599999999999998E-2</v>
      </c>
      <c r="G1719" s="1801">
        <v>2.56</v>
      </c>
      <c r="H1719" s="1802">
        <f>IF(E1719="H",G1719,TRUNC(G1719*(1-$K$7),2))</f>
        <v>2.54</v>
      </c>
      <c r="I1719" s="1803">
        <f t="shared" si="242"/>
        <v>0.22</v>
      </c>
      <c r="J1719" s="1795"/>
    </row>
    <row r="1720" spans="1:10" ht="24">
      <c r="A1720" s="1797" t="s">
        <v>2476</v>
      </c>
      <c r="B1720" s="1798" t="s">
        <v>7</v>
      </c>
      <c r="C1720" s="1798">
        <v>88248</v>
      </c>
      <c r="D1720" s="1799" t="s">
        <v>101</v>
      </c>
      <c r="E1720" s="1800" t="s">
        <v>411</v>
      </c>
      <c r="F1720" s="1807">
        <v>0.3</v>
      </c>
      <c r="G1720" s="1801">
        <v>20.16</v>
      </c>
      <c r="H1720" s="1802">
        <f>IF(E1720="H",G1720,TRUNC(G1720*(1-$K$7),2))</f>
        <v>20.16</v>
      </c>
      <c r="I1720" s="1803">
        <f t="shared" si="242"/>
        <v>6.04</v>
      </c>
      <c r="J1720" s="1795"/>
    </row>
    <row r="1721" spans="1:10" ht="24">
      <c r="A1721" s="1797" t="s">
        <v>2476</v>
      </c>
      <c r="B1721" s="1798" t="s">
        <v>7</v>
      </c>
      <c r="C1721" s="1798">
        <v>88267</v>
      </c>
      <c r="D1721" s="1799" t="s">
        <v>102</v>
      </c>
      <c r="E1721" s="1800" t="s">
        <v>411</v>
      </c>
      <c r="F1721" s="1807">
        <v>0.376</v>
      </c>
      <c r="G1721" s="1801">
        <v>24.64</v>
      </c>
      <c r="H1721" s="1802">
        <f>IF(E1721="H",G1721,TRUNC(G1721*(1-$K$7),2))</f>
        <v>24.64</v>
      </c>
      <c r="I1721" s="1803">
        <f t="shared" si="242"/>
        <v>9.26</v>
      </c>
      <c r="J1721" s="1795"/>
    </row>
    <row r="1722" spans="1:10">
      <c r="A1722" s="1943" t="s">
        <v>2477</v>
      </c>
      <c r="B1722" s="1944"/>
      <c r="C1722" s="1944"/>
      <c r="D1722" s="1944"/>
      <c r="E1722" s="1944"/>
      <c r="F1722" s="1944"/>
      <c r="G1722" s="1944"/>
      <c r="H1722" s="1945"/>
      <c r="I1722" s="1805">
        <f>SUM(I1718:I1721)</f>
        <v>21.59</v>
      </c>
      <c r="J1722" s="1795"/>
    </row>
    <row r="1723" spans="1:10">
      <c r="A1723" s="1929"/>
      <c r="B1723" s="1930"/>
      <c r="C1723" s="1930"/>
      <c r="D1723" s="1930"/>
      <c r="E1723" s="1930"/>
      <c r="F1723" s="1930"/>
      <c r="G1723" s="1930"/>
      <c r="H1723" s="1930"/>
      <c r="I1723" s="1931"/>
      <c r="J1723" s="1795"/>
    </row>
    <row r="1724" spans="1:10" ht="25.5" customHeight="1">
      <c r="A1724" s="1784" t="str">
        <f>'PLANILHA SEM DESON'!B268</f>
        <v>COMP HIDR 05</v>
      </c>
      <c r="B1724" s="1940" t="str">
        <f>VLOOKUP(A1724,'PLANILHA SEM DESON'!$B$17:$D$1700,2,FALSE)</f>
        <v xml:space="preserve">TUBO, PVC, SOLDÁVEL, DN 50MM, FORNECIMENTO E INSTALAÇÃO. </v>
      </c>
      <c r="C1724" s="1941"/>
      <c r="D1724" s="1941"/>
      <c r="E1724" s="1941"/>
      <c r="F1724" s="1941"/>
      <c r="G1724" s="1941"/>
      <c r="H1724" s="1942"/>
      <c r="I1724" s="1785" t="str">
        <f>VLOOKUP(A1724,'PLANILHA SEM DESON'!$B$17:$D$1700,3,FALSE)</f>
        <v>m</v>
      </c>
      <c r="J1724" s="1786">
        <f>I1730</f>
        <v>22.11</v>
      </c>
    </row>
    <row r="1725" spans="1:10" ht="24">
      <c r="A1725" s="1788" t="s">
        <v>2470</v>
      </c>
      <c r="B1725" s="1789" t="s">
        <v>2471</v>
      </c>
      <c r="C1725" s="1790" t="s">
        <v>2468</v>
      </c>
      <c r="D1725" s="1791" t="s">
        <v>308</v>
      </c>
      <c r="E1725" s="1790" t="s">
        <v>202</v>
      </c>
      <c r="F1725" s="1792" t="s">
        <v>2472</v>
      </c>
      <c r="G1725" s="1790" t="s">
        <v>2473</v>
      </c>
      <c r="H1725" s="1793" t="s">
        <v>2474</v>
      </c>
      <c r="I1725" s="1794" t="s">
        <v>2475</v>
      </c>
      <c r="J1725" s="1795"/>
    </row>
    <row r="1726" spans="1:10" ht="24">
      <c r="A1726" s="1797"/>
      <c r="B1726" s="1798"/>
      <c r="C1726" s="1798" t="s">
        <v>461</v>
      </c>
      <c r="D1726" s="1799" t="s">
        <v>101</v>
      </c>
      <c r="E1726" s="1800" t="s">
        <v>57</v>
      </c>
      <c r="F1726" s="1817">
        <v>2.9000000000000001E-2</v>
      </c>
      <c r="G1726" s="1808">
        <v>20.16</v>
      </c>
      <c r="H1726" s="1802">
        <f>IF(E1726="H",G1726,TRUNC(G1726*(1-$K$7),2))</f>
        <v>20.16</v>
      </c>
      <c r="I1726" s="1803">
        <f t="shared" ref="I1726:I1729" si="243">TRUNC(H1726*F1726,2)</f>
        <v>0.57999999999999996</v>
      </c>
      <c r="J1726" s="1795"/>
    </row>
    <row r="1727" spans="1:10" ht="24">
      <c r="A1727" s="1797"/>
      <c r="B1727" s="1798"/>
      <c r="C1727" s="1798" t="s">
        <v>462</v>
      </c>
      <c r="D1727" s="1799" t="s">
        <v>102</v>
      </c>
      <c r="E1727" s="1800" t="s">
        <v>57</v>
      </c>
      <c r="F1727" s="1817">
        <v>2.9000000000000001E-2</v>
      </c>
      <c r="G1727" s="1808">
        <v>24.64</v>
      </c>
      <c r="H1727" s="1802">
        <f>IF(E1727="H",G1727,TRUNC(G1727*(1-$K$7),2))</f>
        <v>24.64</v>
      </c>
      <c r="I1727" s="1803">
        <f t="shared" si="243"/>
        <v>0.71</v>
      </c>
      <c r="J1727" s="1795"/>
    </row>
    <row r="1728" spans="1:10" ht="24">
      <c r="A1728" s="1797"/>
      <c r="B1728" s="1798"/>
      <c r="C1728" s="1798">
        <v>9875</v>
      </c>
      <c r="D1728" s="1799" t="s">
        <v>1802</v>
      </c>
      <c r="E1728" s="1800" t="s">
        <v>55</v>
      </c>
      <c r="F1728" s="1817">
        <v>1.0609999999999999</v>
      </c>
      <c r="G1728" s="1806">
        <v>19.72</v>
      </c>
      <c r="H1728" s="1802">
        <f>IF(E1728="H",G1728,TRUNC(G1728*(1-$K$7),2))</f>
        <v>19.61</v>
      </c>
      <c r="I1728" s="1803">
        <f t="shared" si="243"/>
        <v>20.8</v>
      </c>
      <c r="J1728" s="1795"/>
    </row>
    <row r="1729" spans="1:10">
      <c r="A1729" s="1797"/>
      <c r="B1729" s="1798"/>
      <c r="C1729" s="1798">
        <v>38383</v>
      </c>
      <c r="D1729" s="1799" t="s">
        <v>171</v>
      </c>
      <c r="E1729" s="1800" t="s">
        <v>55</v>
      </c>
      <c r="F1729" s="1817">
        <v>0.01</v>
      </c>
      <c r="G1729" s="1808">
        <v>2.56</v>
      </c>
      <c r="H1729" s="1802">
        <f>IF(E1729="H",G1729,TRUNC(G1729*(1-$K$7),2))</f>
        <v>2.54</v>
      </c>
      <c r="I1729" s="1803">
        <f t="shared" si="243"/>
        <v>0.02</v>
      </c>
      <c r="J1729" s="1795"/>
    </row>
    <row r="1730" spans="1:10">
      <c r="A1730" s="1943" t="s">
        <v>2477</v>
      </c>
      <c r="B1730" s="1944"/>
      <c r="C1730" s="1944"/>
      <c r="D1730" s="1944"/>
      <c r="E1730" s="1944"/>
      <c r="F1730" s="1944"/>
      <c r="G1730" s="1944"/>
      <c r="H1730" s="1945"/>
      <c r="I1730" s="1805">
        <f>SUM(I1726:I1729)</f>
        <v>22.11</v>
      </c>
      <c r="J1730" s="1795"/>
    </row>
    <row r="1731" spans="1:10">
      <c r="A1731" s="1929"/>
      <c r="B1731" s="1930"/>
      <c r="C1731" s="1930"/>
      <c r="D1731" s="1930"/>
      <c r="E1731" s="1930"/>
      <c r="F1731" s="1930"/>
      <c r="G1731" s="1930"/>
      <c r="H1731" s="1930"/>
      <c r="I1731" s="1931"/>
      <c r="J1731" s="1795"/>
    </row>
    <row r="1732" spans="1:10" ht="23.25" customHeight="1">
      <c r="A1732" s="1784">
        <f>'PLANILHA SEM DESON'!B269</f>
        <v>99635</v>
      </c>
      <c r="B1732" s="1940" t="str">
        <f>VLOOKUP(A1732,'PLANILHA SEM DESON'!$B$17:$D$1700,2,FALSE)</f>
        <v>VÁLVULA DE DESCARGA METÁLICA, BASE 1 1/2 ", ACABAMENTO METALICO CROMADO - FORNECIMENTO E INSTALAÇÃO. AF_01/2019</v>
      </c>
      <c r="C1732" s="1941"/>
      <c r="D1732" s="1941"/>
      <c r="E1732" s="1941"/>
      <c r="F1732" s="1941"/>
      <c r="G1732" s="1941"/>
      <c r="H1732" s="1942"/>
      <c r="I1732" s="1785" t="str">
        <f>VLOOKUP(A1732,'PLANILHA SEM DESON'!$B$17:$D$1700,3,FALSE)</f>
        <v xml:space="preserve">un </v>
      </c>
      <c r="J1732" s="1786">
        <f>I1738</f>
        <v>197.85</v>
      </c>
    </row>
    <row r="1733" spans="1:10" ht="24">
      <c r="A1733" s="1788" t="s">
        <v>2470</v>
      </c>
      <c r="B1733" s="1789" t="s">
        <v>2471</v>
      </c>
      <c r="C1733" s="1790" t="s">
        <v>2468</v>
      </c>
      <c r="D1733" s="1791" t="s">
        <v>308</v>
      </c>
      <c r="E1733" s="1790" t="s">
        <v>202</v>
      </c>
      <c r="F1733" s="1792" t="s">
        <v>2472</v>
      </c>
      <c r="G1733" s="1790" t="s">
        <v>2473</v>
      </c>
      <c r="H1733" s="1793" t="s">
        <v>2474</v>
      </c>
      <c r="I1733" s="1794" t="s">
        <v>2475</v>
      </c>
      <c r="J1733" s="1795"/>
    </row>
    <row r="1734" spans="1:10">
      <c r="A1734" s="1797" t="s">
        <v>2476</v>
      </c>
      <c r="B1734" s="1798" t="s">
        <v>2479</v>
      </c>
      <c r="C1734" s="1798">
        <v>3148</v>
      </c>
      <c r="D1734" s="1799" t="s">
        <v>2608</v>
      </c>
      <c r="E1734" s="1800" t="s">
        <v>2501</v>
      </c>
      <c r="F1734" s="1807">
        <v>1.9199999999999998E-2</v>
      </c>
      <c r="G1734" s="1801">
        <v>17.989999999999998</v>
      </c>
      <c r="H1734" s="1802">
        <f>IF(E1734="H",G1734,TRUNC(G1734*(1-$K$7),2))</f>
        <v>17.89</v>
      </c>
      <c r="I1734" s="1803">
        <f t="shared" ref="I1734:I1737" si="244">TRUNC(H1734*F1734,2)</f>
        <v>0.34</v>
      </c>
      <c r="J1734" s="1795"/>
    </row>
    <row r="1735" spans="1:10" ht="24">
      <c r="A1735" s="1797" t="s">
        <v>2476</v>
      </c>
      <c r="B1735" s="1798" t="s">
        <v>2479</v>
      </c>
      <c r="C1735" s="1798">
        <v>10228</v>
      </c>
      <c r="D1735" s="1799" t="s">
        <v>2737</v>
      </c>
      <c r="E1735" s="1800" t="s">
        <v>2501</v>
      </c>
      <c r="F1735" s="1807">
        <v>1</v>
      </c>
      <c r="G1735" s="1801">
        <v>156.9</v>
      </c>
      <c r="H1735" s="1802">
        <f>IF(E1735="H",G1735,TRUNC(G1735*(1-$K$7),2))</f>
        <v>156.09</v>
      </c>
      <c r="I1735" s="1803">
        <f t="shared" si="244"/>
        <v>156.09</v>
      </c>
      <c r="J1735" s="1795"/>
    </row>
    <row r="1736" spans="1:10" ht="24">
      <c r="A1736" s="1797" t="s">
        <v>2476</v>
      </c>
      <c r="B1736" s="1798" t="s">
        <v>7</v>
      </c>
      <c r="C1736" s="1798">
        <v>88248</v>
      </c>
      <c r="D1736" s="1799" t="s">
        <v>101</v>
      </c>
      <c r="E1736" s="1800" t="s">
        <v>411</v>
      </c>
      <c r="F1736" s="1807">
        <v>0.92490000000000006</v>
      </c>
      <c r="G1736" s="1801">
        <v>20.16</v>
      </c>
      <c r="H1736" s="1802">
        <f>IF(E1736="H",G1736,TRUNC(G1736*(1-$K$7),2))</f>
        <v>20.16</v>
      </c>
      <c r="I1736" s="1803">
        <f t="shared" si="244"/>
        <v>18.64</v>
      </c>
      <c r="J1736" s="1795"/>
    </row>
    <row r="1737" spans="1:10" ht="24">
      <c r="A1737" s="1797" t="s">
        <v>2476</v>
      </c>
      <c r="B1737" s="1798" t="s">
        <v>7</v>
      </c>
      <c r="C1737" s="1798">
        <v>88267</v>
      </c>
      <c r="D1737" s="1799" t="s">
        <v>102</v>
      </c>
      <c r="E1737" s="1800" t="s">
        <v>411</v>
      </c>
      <c r="F1737" s="1807">
        <v>0.92490000000000006</v>
      </c>
      <c r="G1737" s="1801">
        <v>24.64</v>
      </c>
      <c r="H1737" s="1802">
        <f>IF(E1737="H",G1737,TRUNC(G1737*(1-$K$7),2))</f>
        <v>24.64</v>
      </c>
      <c r="I1737" s="1803">
        <f t="shared" si="244"/>
        <v>22.78</v>
      </c>
      <c r="J1737" s="1795"/>
    </row>
    <row r="1738" spans="1:10">
      <c r="A1738" s="1943" t="s">
        <v>2477</v>
      </c>
      <c r="B1738" s="1944"/>
      <c r="C1738" s="1944"/>
      <c r="D1738" s="1944"/>
      <c r="E1738" s="1944"/>
      <c r="F1738" s="1944"/>
      <c r="G1738" s="1944"/>
      <c r="H1738" s="1945"/>
      <c r="I1738" s="1805">
        <f>SUM(I1734:I1737)</f>
        <v>197.85</v>
      </c>
      <c r="J1738" s="1795"/>
    </row>
    <row r="1739" spans="1:10">
      <c r="A1739" s="1929"/>
      <c r="B1739" s="1930"/>
      <c r="C1739" s="1930"/>
      <c r="D1739" s="1930"/>
      <c r="E1739" s="1930"/>
      <c r="F1739" s="1930"/>
      <c r="G1739" s="1930"/>
      <c r="H1739" s="1930"/>
      <c r="I1739" s="1931"/>
      <c r="J1739" s="1795"/>
    </row>
    <row r="1740" spans="1:10" ht="24" customHeight="1">
      <c r="A1740" s="1784">
        <f>'PLANILHA SEM DESON'!B270</f>
        <v>89987</v>
      </c>
      <c r="B1740" s="1940" t="str">
        <f>VLOOKUP(A1740,'PLANILHA SEM DESON'!$B$17:$D$1700,2,FALSE)</f>
        <v>REGISTRO DE GAVETA BRUTO, LATÃO, ROSCÁVEL, 3/4", COM ACABAMENTO E CANOPLA CROMADOS. FORNECIDO E INSTALADO EM RAMAL DE ÁGUA. AF_12/2014</v>
      </c>
      <c r="C1740" s="1941"/>
      <c r="D1740" s="1941"/>
      <c r="E1740" s="1941"/>
      <c r="F1740" s="1941"/>
      <c r="G1740" s="1941"/>
      <c r="H1740" s="1942"/>
      <c r="I1740" s="1785" t="str">
        <f>VLOOKUP(A1740,'PLANILHA SEM DESON'!$B$17:$D$1700,3,FALSE)</f>
        <v xml:space="preserve">un </v>
      </c>
      <c r="J1740" s="1786">
        <f>I1746</f>
        <v>83.4</v>
      </c>
    </row>
    <row r="1741" spans="1:10" ht="24">
      <c r="A1741" s="1788" t="s">
        <v>2470</v>
      </c>
      <c r="B1741" s="1789" t="s">
        <v>2471</v>
      </c>
      <c r="C1741" s="1790" t="s">
        <v>2468</v>
      </c>
      <c r="D1741" s="1791" t="s">
        <v>308</v>
      </c>
      <c r="E1741" s="1790" t="s">
        <v>202</v>
      </c>
      <c r="F1741" s="1792" t="s">
        <v>2472</v>
      </c>
      <c r="G1741" s="1790" t="s">
        <v>2473</v>
      </c>
      <c r="H1741" s="1793" t="s">
        <v>2474</v>
      </c>
      <c r="I1741" s="1794" t="s">
        <v>2475</v>
      </c>
      <c r="J1741" s="1795"/>
    </row>
    <row r="1742" spans="1:10">
      <c r="A1742" s="1797" t="s">
        <v>2476</v>
      </c>
      <c r="B1742" s="1798" t="s">
        <v>2479</v>
      </c>
      <c r="C1742" s="1798">
        <v>3148</v>
      </c>
      <c r="D1742" s="1799" t="s">
        <v>2608</v>
      </c>
      <c r="E1742" s="1800" t="s">
        <v>2501</v>
      </c>
      <c r="F1742" s="1807">
        <v>1.06E-2</v>
      </c>
      <c r="G1742" s="1801">
        <v>17.989999999999998</v>
      </c>
      <c r="H1742" s="1802">
        <f>IF(E1742="H",G1742,TRUNC(G1742*(1-$K$7),2))</f>
        <v>17.89</v>
      </c>
      <c r="I1742" s="1803">
        <f t="shared" ref="I1742:I1745" si="245">TRUNC(H1742*F1742,2)</f>
        <v>0.18</v>
      </c>
      <c r="J1742" s="1795"/>
    </row>
    <row r="1743" spans="1:10" ht="24">
      <c r="A1743" s="1797" t="s">
        <v>2476</v>
      </c>
      <c r="B1743" s="1798" t="s">
        <v>2479</v>
      </c>
      <c r="C1743" s="1798">
        <v>6005</v>
      </c>
      <c r="D1743" s="1799" t="s">
        <v>2738</v>
      </c>
      <c r="E1743" s="1800" t="s">
        <v>2501</v>
      </c>
      <c r="F1743" s="1807">
        <v>1</v>
      </c>
      <c r="G1743" s="1801">
        <v>73.7</v>
      </c>
      <c r="H1743" s="1802">
        <f>IF(E1743="H",G1743,TRUNC(G1743*(1-$K$7),2))</f>
        <v>73.319999999999993</v>
      </c>
      <c r="I1743" s="1803">
        <f t="shared" si="245"/>
        <v>73.319999999999993</v>
      </c>
      <c r="J1743" s="1795"/>
    </row>
    <row r="1744" spans="1:10" ht="24">
      <c r="A1744" s="1797" t="s">
        <v>2476</v>
      </c>
      <c r="B1744" s="1798" t="s">
        <v>7</v>
      </c>
      <c r="C1744" s="1798">
        <v>88248</v>
      </c>
      <c r="D1744" s="1799" t="s">
        <v>101</v>
      </c>
      <c r="E1744" s="1800" t="s">
        <v>411</v>
      </c>
      <c r="F1744" s="1807">
        <v>0.22120000000000001</v>
      </c>
      <c r="G1744" s="1801">
        <v>20.16</v>
      </c>
      <c r="H1744" s="1802">
        <f>IF(E1744="H",G1744,TRUNC(G1744*(1-$K$7),2))</f>
        <v>20.16</v>
      </c>
      <c r="I1744" s="1803">
        <f t="shared" si="245"/>
        <v>4.45</v>
      </c>
      <c r="J1744" s="1795"/>
    </row>
    <row r="1745" spans="1:10" ht="24">
      <c r="A1745" s="1797" t="s">
        <v>2476</v>
      </c>
      <c r="B1745" s="1798" t="s">
        <v>7</v>
      </c>
      <c r="C1745" s="1798">
        <v>88267</v>
      </c>
      <c r="D1745" s="1799" t="s">
        <v>102</v>
      </c>
      <c r="E1745" s="1800" t="s">
        <v>411</v>
      </c>
      <c r="F1745" s="1807">
        <v>0.22120000000000001</v>
      </c>
      <c r="G1745" s="1801">
        <v>24.64</v>
      </c>
      <c r="H1745" s="1802">
        <f>IF(E1745="H",G1745,TRUNC(G1745*(1-$K$7),2))</f>
        <v>24.64</v>
      </c>
      <c r="I1745" s="1803">
        <f t="shared" si="245"/>
        <v>5.45</v>
      </c>
      <c r="J1745" s="1795"/>
    </row>
    <row r="1746" spans="1:10">
      <c r="A1746" s="1943" t="s">
        <v>2477</v>
      </c>
      <c r="B1746" s="1944"/>
      <c r="C1746" s="1944"/>
      <c r="D1746" s="1944"/>
      <c r="E1746" s="1944"/>
      <c r="F1746" s="1944"/>
      <c r="G1746" s="1944"/>
      <c r="H1746" s="1945"/>
      <c r="I1746" s="1805">
        <f>SUM(I1742:I1745)</f>
        <v>83.4</v>
      </c>
      <c r="J1746" s="1795"/>
    </row>
    <row r="1747" spans="1:10">
      <c r="A1747" s="1929"/>
      <c r="B1747" s="1930"/>
      <c r="C1747" s="1930"/>
      <c r="D1747" s="1930"/>
      <c r="E1747" s="1930"/>
      <c r="F1747" s="1930"/>
      <c r="G1747" s="1930"/>
      <c r="H1747" s="1930"/>
      <c r="I1747" s="1931"/>
      <c r="J1747" s="1795"/>
    </row>
    <row r="1748" spans="1:10">
      <c r="A1748" s="1784">
        <f>'PLANILHA SEM DESON'!B271</f>
        <v>90371</v>
      </c>
      <c r="B1748" s="1940" t="str">
        <f>VLOOKUP(A1748,'PLANILHA SEM DESON'!$B$17:$D$1700,2,FALSE)</f>
        <v>REGISTRO DE ESFERA, PVC, ROSCÁVEL, 3/4", FORNECIDO E INSTALADO EM RAMAL DE ÁGUA. AF_03/2015</v>
      </c>
      <c r="C1748" s="1941"/>
      <c r="D1748" s="1941"/>
      <c r="E1748" s="1941"/>
      <c r="F1748" s="1941"/>
      <c r="G1748" s="1941"/>
      <c r="H1748" s="1942"/>
      <c r="I1748" s="1785" t="str">
        <f>VLOOKUP(A1748,'PLANILHA SEM DESON'!$B$17:$D$1700,3,FALSE)</f>
        <v xml:space="preserve">un </v>
      </c>
      <c r="J1748" s="1786">
        <f>I1754</f>
        <v>28.81</v>
      </c>
    </row>
    <row r="1749" spans="1:10" ht="24">
      <c r="A1749" s="1788" t="s">
        <v>2470</v>
      </c>
      <c r="B1749" s="1789" t="s">
        <v>2471</v>
      </c>
      <c r="C1749" s="1790" t="s">
        <v>2468</v>
      </c>
      <c r="D1749" s="1791" t="s">
        <v>308</v>
      </c>
      <c r="E1749" s="1790" t="s">
        <v>202</v>
      </c>
      <c r="F1749" s="1792" t="s">
        <v>2472</v>
      </c>
      <c r="G1749" s="1790" t="s">
        <v>2473</v>
      </c>
      <c r="H1749" s="1793" t="s">
        <v>2474</v>
      </c>
      <c r="I1749" s="1794" t="s">
        <v>2475</v>
      </c>
      <c r="J1749" s="1795"/>
    </row>
    <row r="1750" spans="1:10">
      <c r="A1750" s="1797" t="s">
        <v>2476</v>
      </c>
      <c r="B1750" s="1798" t="s">
        <v>2479</v>
      </c>
      <c r="C1750" s="1798">
        <v>3148</v>
      </c>
      <c r="D1750" s="1799" t="s">
        <v>2608</v>
      </c>
      <c r="E1750" s="1800" t="s">
        <v>2501</v>
      </c>
      <c r="F1750" s="1807">
        <v>1.06E-2</v>
      </c>
      <c r="G1750" s="1801">
        <v>17.989999999999998</v>
      </c>
      <c r="H1750" s="1802">
        <f>IF(E1750="H",G1750,TRUNC(G1750*(1-$K$7),2))</f>
        <v>17.89</v>
      </c>
      <c r="I1750" s="1803">
        <f t="shared" ref="I1750:I1753" si="246">TRUNC(H1750*F1750,2)</f>
        <v>0.18</v>
      </c>
      <c r="J1750" s="1795"/>
    </row>
    <row r="1751" spans="1:10" ht="24">
      <c r="A1751" s="1797" t="s">
        <v>2476</v>
      </c>
      <c r="B1751" s="1798" t="s">
        <v>2479</v>
      </c>
      <c r="C1751" s="1798">
        <v>6032</v>
      </c>
      <c r="D1751" s="1799" t="s">
        <v>2739</v>
      </c>
      <c r="E1751" s="1800" t="s">
        <v>2501</v>
      </c>
      <c r="F1751" s="1807">
        <v>1</v>
      </c>
      <c r="G1751" s="1801">
        <v>23.83</v>
      </c>
      <c r="H1751" s="1802">
        <f>IF(E1751="H",G1751,TRUNC(G1751*(1-$K$7),2))</f>
        <v>23.7</v>
      </c>
      <c r="I1751" s="1803">
        <f t="shared" si="246"/>
        <v>23.7</v>
      </c>
      <c r="J1751" s="1795"/>
    </row>
    <row r="1752" spans="1:10" ht="24">
      <c r="A1752" s="1797" t="s">
        <v>2476</v>
      </c>
      <c r="B1752" s="1798" t="s">
        <v>7</v>
      </c>
      <c r="C1752" s="1798">
        <v>88248</v>
      </c>
      <c r="D1752" s="1799" t="s">
        <v>101</v>
      </c>
      <c r="E1752" s="1800" t="s">
        <v>411</v>
      </c>
      <c r="F1752" s="1807">
        <v>0.11020000000000001</v>
      </c>
      <c r="G1752" s="1801">
        <v>20.16</v>
      </c>
      <c r="H1752" s="1802">
        <f>IF(E1752="H",G1752,TRUNC(G1752*(1-$K$7),2))</f>
        <v>20.16</v>
      </c>
      <c r="I1752" s="1803">
        <f t="shared" si="246"/>
        <v>2.2200000000000002</v>
      </c>
      <c r="J1752" s="1795"/>
    </row>
    <row r="1753" spans="1:10" ht="24">
      <c r="A1753" s="1797" t="s">
        <v>2476</v>
      </c>
      <c r="B1753" s="1798" t="s">
        <v>7</v>
      </c>
      <c r="C1753" s="1798">
        <v>88267</v>
      </c>
      <c r="D1753" s="1799" t="s">
        <v>102</v>
      </c>
      <c r="E1753" s="1800" t="s">
        <v>411</v>
      </c>
      <c r="F1753" s="1807">
        <v>0.11020000000000001</v>
      </c>
      <c r="G1753" s="1801">
        <v>24.64</v>
      </c>
      <c r="H1753" s="1802">
        <f>IF(E1753="H",G1753,TRUNC(G1753*(1-$K$7),2))</f>
        <v>24.64</v>
      </c>
      <c r="I1753" s="1803">
        <f t="shared" si="246"/>
        <v>2.71</v>
      </c>
      <c r="J1753" s="1795"/>
    </row>
    <row r="1754" spans="1:10">
      <c r="A1754" s="1943" t="s">
        <v>2477</v>
      </c>
      <c r="B1754" s="1944"/>
      <c r="C1754" s="1944"/>
      <c r="D1754" s="1944"/>
      <c r="E1754" s="1944"/>
      <c r="F1754" s="1944"/>
      <c r="G1754" s="1944"/>
      <c r="H1754" s="1945"/>
      <c r="I1754" s="1805">
        <f>SUM(I1750:I1753)</f>
        <v>28.81</v>
      </c>
      <c r="J1754" s="1795"/>
    </row>
    <row r="1755" spans="1:10">
      <c r="A1755" s="1929"/>
      <c r="B1755" s="1930"/>
      <c r="C1755" s="1930"/>
      <c r="D1755" s="1930"/>
      <c r="E1755" s="1930"/>
      <c r="F1755" s="1930"/>
      <c r="G1755" s="1930"/>
      <c r="H1755" s="1930"/>
      <c r="I1755" s="1931"/>
      <c r="J1755" s="1795"/>
    </row>
    <row r="1756" spans="1:10" ht="40.5" customHeight="1">
      <c r="A1756" s="1784">
        <f>'PLANILHA SEM DESON'!B272</f>
        <v>94794</v>
      </c>
      <c r="B1756" s="1940" t="str">
        <f>VLOOKUP(A1756,'PLANILHA SEM DESON'!$B$17:$D$1700,2,FALSE)</f>
        <v>REGISTRO DE GAVETA BRUTO, LATÃO, ROSCÁVEL, 1 1/2, COM ACABAMENTO E CANOPLA CROMADOS, INSTALADO EM RESERVAÇÃO DE ÁGUA DE EDIFICAÇÃO QUE POSSUA RESERVATÓRIO DE FIBRA/FIBROCIMENTO  FORNECIMENTO E INSTALAÇÃO. AF_06/2016</v>
      </c>
      <c r="C1756" s="1941"/>
      <c r="D1756" s="1941"/>
      <c r="E1756" s="1941"/>
      <c r="F1756" s="1941"/>
      <c r="G1756" s="1941"/>
      <c r="H1756" s="1942"/>
      <c r="I1756" s="1785" t="str">
        <f>VLOOKUP(A1756,'PLANILHA SEM DESON'!$B$17:$D$1700,3,FALSE)</f>
        <v xml:space="preserve">un </v>
      </c>
      <c r="J1756" s="1786">
        <f>I1762</f>
        <v>147.63</v>
      </c>
    </row>
    <row r="1757" spans="1:10" ht="24">
      <c r="A1757" s="1788" t="s">
        <v>2470</v>
      </c>
      <c r="B1757" s="1789" t="s">
        <v>2471</v>
      </c>
      <c r="C1757" s="1790" t="s">
        <v>2468</v>
      </c>
      <c r="D1757" s="1791" t="s">
        <v>308</v>
      </c>
      <c r="E1757" s="1790" t="s">
        <v>202</v>
      </c>
      <c r="F1757" s="1792" t="s">
        <v>2472</v>
      </c>
      <c r="G1757" s="1790" t="s">
        <v>2473</v>
      </c>
      <c r="H1757" s="1793" t="s">
        <v>2474</v>
      </c>
      <c r="I1757" s="1794" t="s">
        <v>2475</v>
      </c>
      <c r="J1757" s="1795"/>
    </row>
    <row r="1758" spans="1:10">
      <c r="A1758" s="1797" t="s">
        <v>2476</v>
      </c>
      <c r="B1758" s="1798" t="s">
        <v>2479</v>
      </c>
      <c r="C1758" s="1798">
        <v>3148</v>
      </c>
      <c r="D1758" s="1799" t="s">
        <v>2608</v>
      </c>
      <c r="E1758" s="1800" t="s">
        <v>2501</v>
      </c>
      <c r="F1758" s="1807">
        <v>1.9199999999999998E-2</v>
      </c>
      <c r="G1758" s="1801">
        <v>17.989999999999998</v>
      </c>
      <c r="H1758" s="1802">
        <f>IF(E1758="H",G1758,TRUNC(G1758*(1-$K$7),2))</f>
        <v>17.89</v>
      </c>
      <c r="I1758" s="1803">
        <f t="shared" ref="I1758:I1761" si="247">TRUNC(H1758*F1758,2)</f>
        <v>0.34</v>
      </c>
      <c r="J1758" s="1795"/>
    </row>
    <row r="1759" spans="1:10" ht="24">
      <c r="A1759" s="1797" t="s">
        <v>2476</v>
      </c>
      <c r="B1759" s="1798" t="s">
        <v>2479</v>
      </c>
      <c r="C1759" s="1798">
        <v>6015</v>
      </c>
      <c r="D1759" s="1799" t="s">
        <v>2740</v>
      </c>
      <c r="E1759" s="1800" t="s">
        <v>2501</v>
      </c>
      <c r="F1759" s="1807">
        <v>1</v>
      </c>
      <c r="G1759" s="1801">
        <v>131.19999999999999</v>
      </c>
      <c r="H1759" s="1802">
        <f>IF(E1759="H",G1759,TRUNC(G1759*(1-$K$7),2))</f>
        <v>130.53</v>
      </c>
      <c r="I1759" s="1803">
        <f t="shared" si="247"/>
        <v>130.53</v>
      </c>
      <c r="J1759" s="1795"/>
    </row>
    <row r="1760" spans="1:10" ht="24">
      <c r="A1760" s="1797" t="s">
        <v>2476</v>
      </c>
      <c r="B1760" s="1798" t="s">
        <v>7</v>
      </c>
      <c r="C1760" s="1798">
        <v>88248</v>
      </c>
      <c r="D1760" s="1799" t="s">
        <v>101</v>
      </c>
      <c r="E1760" s="1800" t="s">
        <v>411</v>
      </c>
      <c r="F1760" s="1807">
        <v>0.37430000000000002</v>
      </c>
      <c r="G1760" s="1801">
        <v>20.16</v>
      </c>
      <c r="H1760" s="1802">
        <f>IF(E1760="H",G1760,TRUNC(G1760*(1-$K$7),2))</f>
        <v>20.16</v>
      </c>
      <c r="I1760" s="1803">
        <f t="shared" si="247"/>
        <v>7.54</v>
      </c>
      <c r="J1760" s="1795"/>
    </row>
    <row r="1761" spans="1:10" ht="24">
      <c r="A1761" s="1797" t="s">
        <v>2476</v>
      </c>
      <c r="B1761" s="1798" t="s">
        <v>7</v>
      </c>
      <c r="C1761" s="1798">
        <v>88267</v>
      </c>
      <c r="D1761" s="1799" t="s">
        <v>102</v>
      </c>
      <c r="E1761" s="1800" t="s">
        <v>411</v>
      </c>
      <c r="F1761" s="1807">
        <v>0.37430000000000002</v>
      </c>
      <c r="G1761" s="1801">
        <v>24.64</v>
      </c>
      <c r="H1761" s="1802">
        <f>IF(E1761="H",G1761,TRUNC(G1761*(1-$K$7),2))</f>
        <v>24.64</v>
      </c>
      <c r="I1761" s="1803">
        <f t="shared" si="247"/>
        <v>9.2200000000000006</v>
      </c>
      <c r="J1761" s="1795"/>
    </row>
    <row r="1762" spans="1:10">
      <c r="A1762" s="1943" t="s">
        <v>2477</v>
      </c>
      <c r="B1762" s="1944"/>
      <c r="C1762" s="1944"/>
      <c r="D1762" s="1944"/>
      <c r="E1762" s="1944"/>
      <c r="F1762" s="1944"/>
      <c r="G1762" s="1944"/>
      <c r="H1762" s="1945"/>
      <c r="I1762" s="1805">
        <f>SUM(I1758:I1761)</f>
        <v>147.63</v>
      </c>
      <c r="J1762" s="1795"/>
    </row>
    <row r="1763" spans="1:10">
      <c r="A1763" s="1929"/>
      <c r="B1763" s="1930"/>
      <c r="C1763" s="1930"/>
      <c r="D1763" s="1930"/>
      <c r="E1763" s="1930"/>
      <c r="F1763" s="1930"/>
      <c r="G1763" s="1930"/>
      <c r="H1763" s="1930"/>
      <c r="I1763" s="1931"/>
      <c r="J1763" s="1795"/>
    </row>
    <row r="1764" spans="1:10" ht="41.25" customHeight="1">
      <c r="A1764" s="1784">
        <f>'PLANILHA SEM DESON'!B273</f>
        <v>94497</v>
      </c>
      <c r="B1764" s="1940" t="str">
        <f>VLOOKUP(A1764,'PLANILHA SEM DESON'!$B$17:$D$1700,2,FALSE)</f>
        <v>REGISTRO DE GAVETA BRUTO, LATÃO, ROSCÁVEL, 1 1/2, INSTALADO EM RESERVAÇÃO DE ÁGUA DE EDIFICAÇÃO QUE POSSUA RESERVATÓRIO DE FIBRA/FIBROCIMENTO  FORNECIMENTO E INSTALAÇÃO. AF_06/2016</v>
      </c>
      <c r="C1764" s="1941"/>
      <c r="D1764" s="1941"/>
      <c r="E1764" s="1941"/>
      <c r="F1764" s="1941"/>
      <c r="G1764" s="1941"/>
      <c r="H1764" s="1942"/>
      <c r="I1764" s="1785" t="str">
        <f>VLOOKUP(A1764,'PLANILHA SEM DESON'!$B$17:$D$1700,3,FALSE)</f>
        <v xml:space="preserve">un </v>
      </c>
      <c r="J1764" s="1786">
        <f>I1770</f>
        <v>93.75</v>
      </c>
    </row>
    <row r="1765" spans="1:10" ht="24">
      <c r="A1765" s="1788" t="s">
        <v>2470</v>
      </c>
      <c r="B1765" s="1789" t="s">
        <v>2471</v>
      </c>
      <c r="C1765" s="1790" t="s">
        <v>2468</v>
      </c>
      <c r="D1765" s="1791" t="s">
        <v>308</v>
      </c>
      <c r="E1765" s="1790" t="s">
        <v>202</v>
      </c>
      <c r="F1765" s="1792" t="s">
        <v>2472</v>
      </c>
      <c r="G1765" s="1790" t="s">
        <v>2473</v>
      </c>
      <c r="H1765" s="1793" t="s">
        <v>2474</v>
      </c>
      <c r="I1765" s="1794" t="s">
        <v>2475</v>
      </c>
      <c r="J1765" s="1795"/>
    </row>
    <row r="1766" spans="1:10">
      <c r="A1766" s="1797" t="s">
        <v>2476</v>
      </c>
      <c r="B1766" s="1798" t="s">
        <v>2479</v>
      </c>
      <c r="C1766" s="1798">
        <v>3148</v>
      </c>
      <c r="D1766" s="1799" t="s">
        <v>2608</v>
      </c>
      <c r="E1766" s="1800" t="s">
        <v>2501</v>
      </c>
      <c r="F1766" s="1807">
        <v>1.9199999999999998E-2</v>
      </c>
      <c r="G1766" s="1801">
        <v>17.989999999999998</v>
      </c>
      <c r="H1766" s="1802">
        <f>IF(E1766="H",G1766,TRUNC(G1766*(1-$K$7),2))</f>
        <v>17.89</v>
      </c>
      <c r="I1766" s="1803">
        <f t="shared" ref="I1766:I1769" si="248">TRUNC(H1766*F1766,2)</f>
        <v>0.34</v>
      </c>
      <c r="J1766" s="1795"/>
    </row>
    <row r="1767" spans="1:10" ht="24">
      <c r="A1767" s="1797" t="s">
        <v>2476</v>
      </c>
      <c r="B1767" s="1798" t="s">
        <v>2479</v>
      </c>
      <c r="C1767" s="1798">
        <v>6010</v>
      </c>
      <c r="D1767" s="1799" t="s">
        <v>2741</v>
      </c>
      <c r="E1767" s="1800" t="s">
        <v>2501</v>
      </c>
      <c r="F1767" s="1807">
        <v>1</v>
      </c>
      <c r="G1767" s="1801">
        <v>82.05</v>
      </c>
      <c r="H1767" s="1802">
        <f>IF(E1767="H",G1767,TRUNC(G1767*(1-$K$7),2))</f>
        <v>81.63</v>
      </c>
      <c r="I1767" s="1803">
        <f t="shared" si="248"/>
        <v>81.63</v>
      </c>
      <c r="J1767" s="1795"/>
    </row>
    <row r="1768" spans="1:10" ht="24">
      <c r="A1768" s="1797" t="s">
        <v>2476</v>
      </c>
      <c r="B1768" s="1798" t="s">
        <v>7</v>
      </c>
      <c r="C1768" s="1798">
        <v>88248</v>
      </c>
      <c r="D1768" s="1799" t="s">
        <v>101</v>
      </c>
      <c r="E1768" s="1800" t="s">
        <v>411</v>
      </c>
      <c r="F1768" s="1807">
        <v>0.26329999999999998</v>
      </c>
      <c r="G1768" s="1801">
        <v>20.16</v>
      </c>
      <c r="H1768" s="1802">
        <f>IF(E1768="H",G1768,TRUNC(G1768*(1-$K$7),2))</f>
        <v>20.16</v>
      </c>
      <c r="I1768" s="1803">
        <f t="shared" si="248"/>
        <v>5.3</v>
      </c>
      <c r="J1768" s="1795"/>
    </row>
    <row r="1769" spans="1:10" ht="24">
      <c r="A1769" s="1797" t="s">
        <v>2476</v>
      </c>
      <c r="B1769" s="1798" t="s">
        <v>7</v>
      </c>
      <c r="C1769" s="1798">
        <v>88267</v>
      </c>
      <c r="D1769" s="1799" t="s">
        <v>102</v>
      </c>
      <c r="E1769" s="1800" t="s">
        <v>411</v>
      </c>
      <c r="F1769" s="1807">
        <v>0.26329999999999998</v>
      </c>
      <c r="G1769" s="1801">
        <v>24.64</v>
      </c>
      <c r="H1769" s="1802">
        <f>IF(E1769="H",G1769,TRUNC(G1769*(1-$K$7),2))</f>
        <v>24.64</v>
      </c>
      <c r="I1769" s="1803">
        <f t="shared" si="248"/>
        <v>6.48</v>
      </c>
      <c r="J1769" s="1795"/>
    </row>
    <row r="1770" spans="1:10">
      <c r="A1770" s="1943" t="s">
        <v>2477</v>
      </c>
      <c r="B1770" s="1944"/>
      <c r="C1770" s="1944"/>
      <c r="D1770" s="1944"/>
      <c r="E1770" s="1944"/>
      <c r="F1770" s="1944"/>
      <c r="G1770" s="1944"/>
      <c r="H1770" s="1945"/>
      <c r="I1770" s="1805">
        <f>SUM(I1766:I1769)</f>
        <v>93.75</v>
      </c>
      <c r="J1770" s="1795"/>
    </row>
    <row r="1771" spans="1:10">
      <c r="A1771" s="1929"/>
      <c r="B1771" s="1930"/>
      <c r="C1771" s="1930"/>
      <c r="D1771" s="1930"/>
      <c r="E1771" s="1930"/>
      <c r="F1771" s="1930"/>
      <c r="G1771" s="1930"/>
      <c r="H1771" s="1930"/>
      <c r="I1771" s="1931"/>
      <c r="J1771" s="1795"/>
    </row>
    <row r="1772" spans="1:10" ht="30" customHeight="1">
      <c r="A1772" s="1784">
        <f>'PLANILHA SEM DESON'!B274</f>
        <v>89385</v>
      </c>
      <c r="B1772" s="1940" t="str">
        <f>VLOOKUP(A1772,'PLANILHA SEM DESON'!$B$17:$D$1700,2,FALSE)</f>
        <v>LUVA SOLDÁVEL E COM ROSCA, PVC, SOLDÁVEL, DN 25MM X 3/4, INSTALADO EM RAMAL OU SUB-RAMAL DE ÁGUA - FORNECIMENTO E INSTALAÇÃO. AF_12/2014</v>
      </c>
      <c r="C1772" s="1941"/>
      <c r="D1772" s="1941"/>
      <c r="E1772" s="1941"/>
      <c r="F1772" s="1941"/>
      <c r="G1772" s="1941"/>
      <c r="H1772" s="1942"/>
      <c r="I1772" s="1785" t="str">
        <f>VLOOKUP(A1772,'PLANILHA SEM DESON'!$B$17:$D$1700,3,FALSE)</f>
        <v xml:space="preserve">un </v>
      </c>
      <c r="J1772" s="1786">
        <f>I1780</f>
        <v>7.4500000000000011</v>
      </c>
    </row>
    <row r="1773" spans="1:10" ht="24">
      <c r="A1773" s="1788" t="s">
        <v>2470</v>
      </c>
      <c r="B1773" s="1789" t="s">
        <v>2471</v>
      </c>
      <c r="C1773" s="1790" t="s">
        <v>2468</v>
      </c>
      <c r="D1773" s="1791" t="s">
        <v>308</v>
      </c>
      <c r="E1773" s="1790" t="s">
        <v>202</v>
      </c>
      <c r="F1773" s="1792" t="s">
        <v>2472</v>
      </c>
      <c r="G1773" s="1790" t="s">
        <v>2473</v>
      </c>
      <c r="H1773" s="1793" t="s">
        <v>2474</v>
      </c>
      <c r="I1773" s="1794" t="s">
        <v>2475</v>
      </c>
      <c r="J1773" s="1795"/>
    </row>
    <row r="1774" spans="1:10">
      <c r="A1774" s="1797" t="s">
        <v>2476</v>
      </c>
      <c r="B1774" s="1798" t="s">
        <v>2479</v>
      </c>
      <c r="C1774" s="1798">
        <v>122</v>
      </c>
      <c r="D1774" s="1799" t="s">
        <v>2732</v>
      </c>
      <c r="E1774" s="1800" t="s">
        <v>2501</v>
      </c>
      <c r="F1774" s="1807">
        <v>5.8999999999999999E-3</v>
      </c>
      <c r="G1774" s="1801">
        <v>76.86</v>
      </c>
      <c r="H1774" s="1802">
        <f t="shared" ref="H1774:H1779" si="249">IF(E1774="H",G1774,TRUNC(G1774*(1-$K$7),2))</f>
        <v>76.459999999999994</v>
      </c>
      <c r="I1774" s="1803">
        <f t="shared" ref="I1774:I1779" si="250">TRUNC(H1774*F1774,2)</f>
        <v>0.45</v>
      </c>
      <c r="J1774" s="1795"/>
    </row>
    <row r="1775" spans="1:10" ht="24">
      <c r="A1775" s="1797" t="s">
        <v>2476</v>
      </c>
      <c r="B1775" s="1798" t="s">
        <v>2479</v>
      </c>
      <c r="C1775" s="1798">
        <v>3906</v>
      </c>
      <c r="D1775" s="1799" t="s">
        <v>2742</v>
      </c>
      <c r="E1775" s="1800" t="s">
        <v>2501</v>
      </c>
      <c r="F1775" s="1807">
        <v>1</v>
      </c>
      <c r="G1775" s="1801">
        <v>2.12</v>
      </c>
      <c r="H1775" s="1802">
        <f t="shared" si="249"/>
        <v>2.1</v>
      </c>
      <c r="I1775" s="1803">
        <f t="shared" si="250"/>
        <v>2.1</v>
      </c>
      <c r="J1775" s="1795"/>
    </row>
    <row r="1776" spans="1:10" ht="24">
      <c r="A1776" s="1797" t="s">
        <v>2476</v>
      </c>
      <c r="B1776" s="1798" t="s">
        <v>2479</v>
      </c>
      <c r="C1776" s="1798">
        <v>20083</v>
      </c>
      <c r="D1776" s="1799" t="s">
        <v>2606</v>
      </c>
      <c r="E1776" s="1800" t="s">
        <v>2501</v>
      </c>
      <c r="F1776" s="1807">
        <v>7.0000000000000001E-3</v>
      </c>
      <c r="G1776" s="1801">
        <v>87.08</v>
      </c>
      <c r="H1776" s="1802">
        <f t="shared" si="249"/>
        <v>86.63</v>
      </c>
      <c r="I1776" s="1803">
        <f t="shared" si="250"/>
        <v>0.6</v>
      </c>
      <c r="J1776" s="1795"/>
    </row>
    <row r="1777" spans="1:10">
      <c r="A1777" s="1797" t="s">
        <v>2476</v>
      </c>
      <c r="B1777" s="1798" t="s">
        <v>2479</v>
      </c>
      <c r="C1777" s="1798">
        <v>38383</v>
      </c>
      <c r="D1777" s="1799" t="s">
        <v>2607</v>
      </c>
      <c r="E1777" s="1800" t="s">
        <v>2501</v>
      </c>
      <c r="F1777" s="1807">
        <v>3.15E-2</v>
      </c>
      <c r="G1777" s="1801">
        <v>2.56</v>
      </c>
      <c r="H1777" s="1802">
        <f t="shared" si="249"/>
        <v>2.54</v>
      </c>
      <c r="I1777" s="1803">
        <f t="shared" si="250"/>
        <v>0.08</v>
      </c>
      <c r="J1777" s="1795"/>
    </row>
    <row r="1778" spans="1:10" ht="24">
      <c r="A1778" s="1797" t="s">
        <v>2476</v>
      </c>
      <c r="B1778" s="1798" t="s">
        <v>7</v>
      </c>
      <c r="C1778" s="1798">
        <v>88248</v>
      </c>
      <c r="D1778" s="1799" t="s">
        <v>101</v>
      </c>
      <c r="E1778" s="1800" t="s">
        <v>411</v>
      </c>
      <c r="F1778" s="1807">
        <v>9.4399999999999998E-2</v>
      </c>
      <c r="G1778" s="1801">
        <v>20.16</v>
      </c>
      <c r="H1778" s="1802">
        <f t="shared" si="249"/>
        <v>20.16</v>
      </c>
      <c r="I1778" s="1803">
        <f t="shared" si="250"/>
        <v>1.9</v>
      </c>
      <c r="J1778" s="1795"/>
    </row>
    <row r="1779" spans="1:10" ht="24">
      <c r="A1779" s="1797" t="s">
        <v>2476</v>
      </c>
      <c r="B1779" s="1798" t="s">
        <v>7</v>
      </c>
      <c r="C1779" s="1798">
        <v>88267</v>
      </c>
      <c r="D1779" s="1799" t="s">
        <v>102</v>
      </c>
      <c r="E1779" s="1800" t="s">
        <v>411</v>
      </c>
      <c r="F1779" s="1807">
        <v>9.4399999999999998E-2</v>
      </c>
      <c r="G1779" s="1801">
        <v>24.64</v>
      </c>
      <c r="H1779" s="1802">
        <f t="shared" si="249"/>
        <v>24.64</v>
      </c>
      <c r="I1779" s="1803">
        <f t="shared" si="250"/>
        <v>2.3199999999999998</v>
      </c>
      <c r="J1779" s="1795"/>
    </row>
    <row r="1780" spans="1:10">
      <c r="A1780" s="1943" t="s">
        <v>2477</v>
      </c>
      <c r="B1780" s="1944"/>
      <c r="C1780" s="1944"/>
      <c r="D1780" s="1944"/>
      <c r="E1780" s="1944"/>
      <c r="F1780" s="1944"/>
      <c r="G1780" s="1944"/>
      <c r="H1780" s="1945"/>
      <c r="I1780" s="1805">
        <f>SUM(I1774:I1779)</f>
        <v>7.4500000000000011</v>
      </c>
      <c r="J1780" s="1795"/>
    </row>
    <row r="1781" spans="1:10">
      <c r="A1781" s="1929"/>
      <c r="B1781" s="1930"/>
      <c r="C1781" s="1930"/>
      <c r="D1781" s="1930"/>
      <c r="E1781" s="1930"/>
      <c r="F1781" s="1930"/>
      <c r="G1781" s="1930"/>
      <c r="H1781" s="1930"/>
      <c r="I1781" s="1931"/>
      <c r="J1781" s="1795"/>
    </row>
    <row r="1782" spans="1:10" ht="24.75" customHeight="1">
      <c r="A1782" s="1784">
        <f>'PLANILHA SEM DESON'!B275</f>
        <v>94703</v>
      </c>
      <c r="B1782" s="1940" t="str">
        <f>VLOOKUP(A1782,'PLANILHA SEM DESON'!$B$17:$D$1700,2,FALSE)</f>
        <v>ADAPTADOR COM FLANGE E ANEL DE VEDAÇÃO, PVC, SOLDÁVEL, DN  25 MM X 3/4  , INSTALADO EM RESERVAÇÃO DE ÁGUA DE EDIFICAÇÃO QUE POSSUA RESERVATÓRIO</v>
      </c>
      <c r="C1782" s="1941"/>
      <c r="D1782" s="1941"/>
      <c r="E1782" s="1941"/>
      <c r="F1782" s="1941"/>
      <c r="G1782" s="1941"/>
      <c r="H1782" s="1942"/>
      <c r="I1782" s="1785" t="str">
        <f>VLOOKUP(A1782,'PLANILHA SEM DESON'!$B$17:$D$1700,3,FALSE)</f>
        <v xml:space="preserve">un </v>
      </c>
      <c r="J1782" s="1786">
        <f>I1790</f>
        <v>25.39</v>
      </c>
    </row>
    <row r="1783" spans="1:10" ht="24">
      <c r="A1783" s="1788" t="s">
        <v>2470</v>
      </c>
      <c r="B1783" s="1789" t="s">
        <v>2471</v>
      </c>
      <c r="C1783" s="1790" t="s">
        <v>2468</v>
      </c>
      <c r="D1783" s="1791" t="s">
        <v>308</v>
      </c>
      <c r="E1783" s="1790" t="s">
        <v>202</v>
      </c>
      <c r="F1783" s="1792" t="s">
        <v>2472</v>
      </c>
      <c r="G1783" s="1790" t="s">
        <v>2473</v>
      </c>
      <c r="H1783" s="1793" t="s">
        <v>2474</v>
      </c>
      <c r="I1783" s="1794" t="s">
        <v>2475</v>
      </c>
      <c r="J1783" s="1795"/>
    </row>
    <row r="1784" spans="1:10" ht="24">
      <c r="A1784" s="1797" t="s">
        <v>2476</v>
      </c>
      <c r="B1784" s="1798" t="s">
        <v>2479</v>
      </c>
      <c r="C1784" s="1798">
        <v>96</v>
      </c>
      <c r="D1784" s="1799" t="s">
        <v>2743</v>
      </c>
      <c r="E1784" s="1800" t="s">
        <v>2501</v>
      </c>
      <c r="F1784" s="1807">
        <v>1</v>
      </c>
      <c r="G1784" s="1801">
        <v>17.27</v>
      </c>
      <c r="H1784" s="1802">
        <f t="shared" ref="H1784:H1789" si="251">IF(E1784="H",G1784,TRUNC(G1784*(1-$K$7),2))</f>
        <v>17.18</v>
      </c>
      <c r="I1784" s="1803">
        <f t="shared" ref="I1784:I1789" si="252">TRUNC(H1784*F1784,2)</f>
        <v>17.18</v>
      </c>
      <c r="J1784" s="1795"/>
    </row>
    <row r="1785" spans="1:10">
      <c r="A1785" s="1797" t="s">
        <v>2476</v>
      </c>
      <c r="B1785" s="1798" t="s">
        <v>2479</v>
      </c>
      <c r="C1785" s="1798">
        <v>20080</v>
      </c>
      <c r="D1785" s="1799" t="s">
        <v>2605</v>
      </c>
      <c r="E1785" s="1800" t="s">
        <v>2501</v>
      </c>
      <c r="F1785" s="1807">
        <v>4.5999999999999999E-2</v>
      </c>
      <c r="G1785" s="1801">
        <v>25.09</v>
      </c>
      <c r="H1785" s="1802">
        <f t="shared" si="251"/>
        <v>24.96</v>
      </c>
      <c r="I1785" s="1803">
        <f t="shared" si="252"/>
        <v>1.1399999999999999</v>
      </c>
      <c r="J1785" s="1795"/>
    </row>
    <row r="1786" spans="1:10" ht="24">
      <c r="A1786" s="1797" t="s">
        <v>2476</v>
      </c>
      <c r="B1786" s="1798" t="s">
        <v>2479</v>
      </c>
      <c r="C1786" s="1798">
        <v>20083</v>
      </c>
      <c r="D1786" s="1799" t="s">
        <v>2606</v>
      </c>
      <c r="E1786" s="1800" t="s">
        <v>2501</v>
      </c>
      <c r="F1786" s="1807">
        <v>1.0999999999999999E-2</v>
      </c>
      <c r="G1786" s="1801">
        <v>87.08</v>
      </c>
      <c r="H1786" s="1802">
        <f t="shared" si="251"/>
        <v>86.63</v>
      </c>
      <c r="I1786" s="1803">
        <f t="shared" si="252"/>
        <v>0.95</v>
      </c>
      <c r="J1786" s="1795"/>
    </row>
    <row r="1787" spans="1:10">
      <c r="A1787" s="1797" t="s">
        <v>2476</v>
      </c>
      <c r="B1787" s="1798" t="s">
        <v>2479</v>
      </c>
      <c r="C1787" s="1798">
        <v>38383</v>
      </c>
      <c r="D1787" s="1799" t="s">
        <v>2607</v>
      </c>
      <c r="E1787" s="1800" t="s">
        <v>2501</v>
      </c>
      <c r="F1787" s="1807">
        <v>1.4E-2</v>
      </c>
      <c r="G1787" s="1801">
        <v>2.56</v>
      </c>
      <c r="H1787" s="1802">
        <f t="shared" si="251"/>
        <v>2.54</v>
      </c>
      <c r="I1787" s="1803">
        <f t="shared" si="252"/>
        <v>0.03</v>
      </c>
      <c r="J1787" s="1795"/>
    </row>
    <row r="1788" spans="1:10" ht="24">
      <c r="A1788" s="1797" t="s">
        <v>2476</v>
      </c>
      <c r="B1788" s="1798" t="s">
        <v>7</v>
      </c>
      <c r="C1788" s="1798">
        <v>88248</v>
      </c>
      <c r="D1788" s="1799" t="s">
        <v>101</v>
      </c>
      <c r="E1788" s="1800" t="s">
        <v>411</v>
      </c>
      <c r="F1788" s="1807">
        <v>0.13600000000000001</v>
      </c>
      <c r="G1788" s="1801">
        <v>20.16</v>
      </c>
      <c r="H1788" s="1802">
        <f t="shared" si="251"/>
        <v>20.16</v>
      </c>
      <c r="I1788" s="1803">
        <f t="shared" si="252"/>
        <v>2.74</v>
      </c>
      <c r="J1788" s="1795"/>
    </row>
    <row r="1789" spans="1:10" ht="24">
      <c r="A1789" s="1797" t="s">
        <v>2476</v>
      </c>
      <c r="B1789" s="1798" t="s">
        <v>7</v>
      </c>
      <c r="C1789" s="1798">
        <v>88267</v>
      </c>
      <c r="D1789" s="1799" t="s">
        <v>102</v>
      </c>
      <c r="E1789" s="1800" t="s">
        <v>411</v>
      </c>
      <c r="F1789" s="1807">
        <v>0.13600000000000001</v>
      </c>
      <c r="G1789" s="1801">
        <v>24.64</v>
      </c>
      <c r="H1789" s="1802">
        <f t="shared" si="251"/>
        <v>24.64</v>
      </c>
      <c r="I1789" s="1803">
        <f t="shared" si="252"/>
        <v>3.35</v>
      </c>
      <c r="J1789" s="1795"/>
    </row>
    <row r="1790" spans="1:10">
      <c r="A1790" s="1943" t="s">
        <v>2477</v>
      </c>
      <c r="B1790" s="1944"/>
      <c r="C1790" s="1944"/>
      <c r="D1790" s="1944"/>
      <c r="E1790" s="1944"/>
      <c r="F1790" s="1944"/>
      <c r="G1790" s="1944"/>
      <c r="H1790" s="1945"/>
      <c r="I1790" s="1805">
        <f>SUM(I1784:I1789)</f>
        <v>25.39</v>
      </c>
      <c r="J1790" s="1795"/>
    </row>
    <row r="1791" spans="1:10">
      <c r="A1791" s="1929"/>
      <c r="B1791" s="1930"/>
      <c r="C1791" s="1930"/>
      <c r="D1791" s="1930"/>
      <c r="E1791" s="1930"/>
      <c r="F1791" s="1930"/>
      <c r="G1791" s="1930"/>
      <c r="H1791" s="1930"/>
      <c r="I1791" s="1931"/>
      <c r="J1791" s="1795"/>
    </row>
    <row r="1792" spans="1:10" ht="34.5" customHeight="1">
      <c r="A1792" s="1784">
        <f>'PLANILHA SEM DESON'!B276</f>
        <v>94706</v>
      </c>
      <c r="B1792" s="1940" t="str">
        <f>VLOOKUP(A1792,'PLANILHA SEM DESON'!$B$17:$D$1700,2,FALSE)</f>
        <v>ADAPTADOR COM FLANGE E ANEL DE VEDAÇÃO, PVC, SOLDÁVEL, DN 50 MM X 1 1/2 , INSTALADO EM RESERVAÇÃO DE ÁGUA DE EDIFICAÇÃO QUE POSSUA RESERVATÓRIO DE FIBRA/FIBROCIMENTO   FORNECIMENTO E INSTALAÇÃO. AF_06/2016</v>
      </c>
      <c r="C1792" s="1941"/>
      <c r="D1792" s="1941"/>
      <c r="E1792" s="1941"/>
      <c r="F1792" s="1941"/>
      <c r="G1792" s="1941"/>
      <c r="H1792" s="1942"/>
      <c r="I1792" s="1785" t="str">
        <f>VLOOKUP(A1792,'PLANILHA SEM DESON'!$B$17:$D$1700,3,FALSE)</f>
        <v xml:space="preserve">un </v>
      </c>
      <c r="J1792" s="1786">
        <f>I1800</f>
        <v>54.030000000000008</v>
      </c>
    </row>
    <row r="1793" spans="1:10" ht="24">
      <c r="A1793" s="1788" t="s">
        <v>2470</v>
      </c>
      <c r="B1793" s="1789" t="s">
        <v>2471</v>
      </c>
      <c r="C1793" s="1790" t="s">
        <v>2468</v>
      </c>
      <c r="D1793" s="1791" t="s">
        <v>308</v>
      </c>
      <c r="E1793" s="1790" t="s">
        <v>202</v>
      </c>
      <c r="F1793" s="1792" t="s">
        <v>2472</v>
      </c>
      <c r="G1793" s="1790" t="s">
        <v>2473</v>
      </c>
      <c r="H1793" s="1793" t="s">
        <v>2474</v>
      </c>
      <c r="I1793" s="1794" t="s">
        <v>2475</v>
      </c>
      <c r="J1793" s="1795"/>
    </row>
    <row r="1794" spans="1:10" ht="24">
      <c r="A1794" s="1797" t="s">
        <v>2476</v>
      </c>
      <c r="B1794" s="1798" t="s">
        <v>2479</v>
      </c>
      <c r="C1794" s="1798">
        <v>99</v>
      </c>
      <c r="D1794" s="1799" t="s">
        <v>2744</v>
      </c>
      <c r="E1794" s="1800" t="s">
        <v>2501</v>
      </c>
      <c r="F1794" s="1807">
        <v>1</v>
      </c>
      <c r="G1794" s="1801">
        <v>36.75</v>
      </c>
      <c r="H1794" s="1802">
        <f t="shared" ref="H1794:H1799" si="253">IF(E1794="H",G1794,TRUNC(G1794*(1-$K$7),2))</f>
        <v>36.56</v>
      </c>
      <c r="I1794" s="1803">
        <f t="shared" ref="I1794:I1799" si="254">TRUNC(H1794*F1794,2)</f>
        <v>36.56</v>
      </c>
      <c r="J1794" s="1795"/>
    </row>
    <row r="1795" spans="1:10">
      <c r="A1795" s="1797" t="s">
        <v>2476</v>
      </c>
      <c r="B1795" s="1798" t="s">
        <v>2479</v>
      </c>
      <c r="C1795" s="1798">
        <v>20080</v>
      </c>
      <c r="D1795" s="1799" t="s">
        <v>2605</v>
      </c>
      <c r="E1795" s="1800" t="s">
        <v>2501</v>
      </c>
      <c r="F1795" s="1807">
        <v>0.19400000000000001</v>
      </c>
      <c r="G1795" s="1801">
        <v>25.09</v>
      </c>
      <c r="H1795" s="1802">
        <f t="shared" si="253"/>
        <v>24.96</v>
      </c>
      <c r="I1795" s="1803">
        <f t="shared" si="254"/>
        <v>4.84</v>
      </c>
      <c r="J1795" s="1795"/>
    </row>
    <row r="1796" spans="1:10" ht="24">
      <c r="A1796" s="1797" t="s">
        <v>2476</v>
      </c>
      <c r="B1796" s="1798" t="s">
        <v>2479</v>
      </c>
      <c r="C1796" s="1798">
        <v>20083</v>
      </c>
      <c r="D1796" s="1799" t="s">
        <v>2606</v>
      </c>
      <c r="E1796" s="1800" t="s">
        <v>2501</v>
      </c>
      <c r="F1796" s="1807">
        <v>5.1999999999999998E-2</v>
      </c>
      <c r="G1796" s="1801">
        <v>87.08</v>
      </c>
      <c r="H1796" s="1802">
        <f t="shared" si="253"/>
        <v>86.63</v>
      </c>
      <c r="I1796" s="1803">
        <f t="shared" si="254"/>
        <v>4.5</v>
      </c>
      <c r="J1796" s="1795"/>
    </row>
    <row r="1797" spans="1:10">
      <c r="A1797" s="1797" t="s">
        <v>2476</v>
      </c>
      <c r="B1797" s="1798" t="s">
        <v>2479</v>
      </c>
      <c r="C1797" s="1798">
        <v>38383</v>
      </c>
      <c r="D1797" s="1799" t="s">
        <v>2607</v>
      </c>
      <c r="E1797" s="1800" t="s">
        <v>2501</v>
      </c>
      <c r="F1797" s="1807">
        <v>1.7999999999999999E-2</v>
      </c>
      <c r="G1797" s="1801">
        <v>2.56</v>
      </c>
      <c r="H1797" s="1802">
        <f t="shared" si="253"/>
        <v>2.54</v>
      </c>
      <c r="I1797" s="1803">
        <f t="shared" si="254"/>
        <v>0.04</v>
      </c>
      <c r="J1797" s="1795"/>
    </row>
    <row r="1798" spans="1:10" ht="24">
      <c r="A1798" s="1797" t="s">
        <v>2476</v>
      </c>
      <c r="B1798" s="1798" t="s">
        <v>7</v>
      </c>
      <c r="C1798" s="1798">
        <v>88248</v>
      </c>
      <c r="D1798" s="1799" t="s">
        <v>101</v>
      </c>
      <c r="E1798" s="1800" t="s">
        <v>411</v>
      </c>
      <c r="F1798" s="1807">
        <v>0.18099999999999999</v>
      </c>
      <c r="G1798" s="1801">
        <v>20.16</v>
      </c>
      <c r="H1798" s="1802">
        <f t="shared" si="253"/>
        <v>20.16</v>
      </c>
      <c r="I1798" s="1803">
        <f t="shared" si="254"/>
        <v>3.64</v>
      </c>
      <c r="J1798" s="1795"/>
    </row>
    <row r="1799" spans="1:10" ht="24">
      <c r="A1799" s="1797" t="s">
        <v>2476</v>
      </c>
      <c r="B1799" s="1798" t="s">
        <v>7</v>
      </c>
      <c r="C1799" s="1798">
        <v>88267</v>
      </c>
      <c r="D1799" s="1799" t="s">
        <v>102</v>
      </c>
      <c r="E1799" s="1800" t="s">
        <v>411</v>
      </c>
      <c r="F1799" s="1807">
        <v>0.18099999999999999</v>
      </c>
      <c r="G1799" s="1801">
        <v>24.64</v>
      </c>
      <c r="H1799" s="1802">
        <f t="shared" si="253"/>
        <v>24.64</v>
      </c>
      <c r="I1799" s="1803">
        <f t="shared" si="254"/>
        <v>4.45</v>
      </c>
      <c r="J1799" s="1795"/>
    </row>
    <row r="1800" spans="1:10">
      <c r="A1800" s="1943" t="s">
        <v>2477</v>
      </c>
      <c r="B1800" s="1944"/>
      <c r="C1800" s="1944"/>
      <c r="D1800" s="1944"/>
      <c r="E1800" s="1944"/>
      <c r="F1800" s="1944"/>
      <c r="G1800" s="1944"/>
      <c r="H1800" s="1945"/>
      <c r="I1800" s="1805">
        <f>SUM(I1794:I1799)</f>
        <v>54.030000000000008</v>
      </c>
      <c r="J1800" s="1795"/>
    </row>
    <row r="1801" spans="1:10">
      <c r="A1801" s="1929"/>
      <c r="B1801" s="1930"/>
      <c r="C1801" s="1930"/>
      <c r="D1801" s="1930"/>
      <c r="E1801" s="1930"/>
      <c r="F1801" s="1930"/>
      <c r="G1801" s="1930"/>
      <c r="H1801" s="1930"/>
      <c r="I1801" s="1931"/>
      <c r="J1801" s="1795"/>
    </row>
    <row r="1802" spans="1:10" ht="24.75" customHeight="1">
      <c r="A1802" s="1784">
        <f>'PLANILHA SEM DESON'!B277</f>
        <v>89383</v>
      </c>
      <c r="B1802" s="1940" t="str">
        <f>VLOOKUP(A1802,'PLANILHA SEM DESON'!$B$17:$D$1700,2,FALSE)</f>
        <v>ADAPTADOR CURTO COM BOLSA E ROSCA PARA REGISTRO, PVC, SOLDÁVEL, DN 25MM X 3/4, INSTALADO EM RAMAL OU SUB-RAMAL DE ÁGUA - FORNECIMENTO E INSTALAÇÃO. AF_12/2014</v>
      </c>
      <c r="C1802" s="1941"/>
      <c r="D1802" s="1941"/>
      <c r="E1802" s="1941"/>
      <c r="F1802" s="1941"/>
      <c r="G1802" s="1941"/>
      <c r="H1802" s="1942"/>
      <c r="I1802" s="1785" t="str">
        <f>VLOOKUP(A1802,'PLANILHA SEM DESON'!$B$17:$D$1700,3,FALSE)</f>
        <v xml:space="preserve">un </v>
      </c>
      <c r="J1802" s="1786">
        <f>I1809</f>
        <v>4.2699999999999996</v>
      </c>
    </row>
    <row r="1803" spans="1:10" ht="24">
      <c r="A1803" s="1788" t="s">
        <v>2470</v>
      </c>
      <c r="B1803" s="1789" t="s">
        <v>2471</v>
      </c>
      <c r="C1803" s="1790" t="s">
        <v>2468</v>
      </c>
      <c r="D1803" s="1791" t="s">
        <v>308</v>
      </c>
      <c r="E1803" s="1790" t="s">
        <v>202</v>
      </c>
      <c r="F1803" s="1792" t="s">
        <v>2472</v>
      </c>
      <c r="G1803" s="1790" t="s">
        <v>2473</v>
      </c>
      <c r="H1803" s="1793" t="s">
        <v>2474</v>
      </c>
      <c r="I1803" s="1794" t="s">
        <v>2475</v>
      </c>
      <c r="J1803" s="1795"/>
    </row>
    <row r="1804" spans="1:10" ht="24">
      <c r="A1804" s="1797" t="s">
        <v>2476</v>
      </c>
      <c r="B1804" s="1798" t="s">
        <v>2479</v>
      </c>
      <c r="C1804" s="1798">
        <v>65</v>
      </c>
      <c r="D1804" s="1799" t="s">
        <v>2745</v>
      </c>
      <c r="E1804" s="1800" t="s">
        <v>2501</v>
      </c>
      <c r="F1804" s="1807">
        <v>1</v>
      </c>
      <c r="G1804" s="1801">
        <v>1.25</v>
      </c>
      <c r="H1804" s="1802">
        <f>IF(E1804="H",G1804,TRUNC(G1804*(1-$K$7),2))</f>
        <v>1.24</v>
      </c>
      <c r="I1804" s="1803">
        <f t="shared" ref="I1804:I1808" si="255">TRUNC(H1804*F1804,2)</f>
        <v>1.24</v>
      </c>
      <c r="J1804" s="1795"/>
    </row>
    <row r="1805" spans="1:10">
      <c r="A1805" s="1797" t="s">
        <v>2476</v>
      </c>
      <c r="B1805" s="1798" t="s">
        <v>2479</v>
      </c>
      <c r="C1805" s="1798">
        <v>122</v>
      </c>
      <c r="D1805" s="1799" t="s">
        <v>2732</v>
      </c>
      <c r="E1805" s="1800" t="s">
        <v>2501</v>
      </c>
      <c r="F1805" s="1807">
        <v>5.8999999999999999E-3</v>
      </c>
      <c r="G1805" s="1801">
        <v>76.86</v>
      </c>
      <c r="H1805" s="1802">
        <f>IF(E1805="H",G1805,TRUNC(G1805*(1-$K$7),2))</f>
        <v>76.459999999999994</v>
      </c>
      <c r="I1805" s="1803">
        <f t="shared" si="255"/>
        <v>0.45</v>
      </c>
      <c r="J1805" s="1795"/>
    </row>
    <row r="1806" spans="1:10" ht="24">
      <c r="A1806" s="1797" t="s">
        <v>2476</v>
      </c>
      <c r="B1806" s="1798" t="s">
        <v>2479</v>
      </c>
      <c r="C1806" s="1798">
        <v>20083</v>
      </c>
      <c r="D1806" s="1799" t="s">
        <v>2606</v>
      </c>
      <c r="E1806" s="1800" t="s">
        <v>2501</v>
      </c>
      <c r="F1806" s="1807">
        <v>7.0000000000000001E-3</v>
      </c>
      <c r="G1806" s="1801">
        <v>87.08</v>
      </c>
      <c r="H1806" s="1802">
        <f>IF(E1806="H",G1806,TRUNC(G1806*(1-$K$7),2))</f>
        <v>86.63</v>
      </c>
      <c r="I1806" s="1803">
        <f t="shared" si="255"/>
        <v>0.6</v>
      </c>
      <c r="J1806" s="1795"/>
    </row>
    <row r="1807" spans="1:10">
      <c r="A1807" s="1797" t="s">
        <v>2476</v>
      </c>
      <c r="B1807" s="1798" t="s">
        <v>2479</v>
      </c>
      <c r="C1807" s="1798">
        <v>38383</v>
      </c>
      <c r="D1807" s="1799" t="s">
        <v>2607</v>
      </c>
      <c r="E1807" s="1800" t="s">
        <v>2501</v>
      </c>
      <c r="F1807" s="1807">
        <v>3.15E-2</v>
      </c>
      <c r="G1807" s="1801">
        <v>2.56</v>
      </c>
      <c r="H1807" s="1802">
        <f>IF(E1807="H",G1807,TRUNC(G1807*(1-$K$7),2))</f>
        <v>2.54</v>
      </c>
      <c r="I1807" s="1803">
        <f t="shared" si="255"/>
        <v>0.08</v>
      </c>
      <c r="J1807" s="1795"/>
    </row>
    <row r="1808" spans="1:10" ht="24">
      <c r="A1808" s="1797" t="s">
        <v>2476</v>
      </c>
      <c r="B1808" s="1798" t="s">
        <v>7</v>
      </c>
      <c r="C1808" s="1798">
        <v>88248</v>
      </c>
      <c r="D1808" s="1799" t="s">
        <v>101</v>
      </c>
      <c r="E1808" s="1800" t="s">
        <v>411</v>
      </c>
      <c r="F1808" s="1807">
        <v>9.4399999999999998E-2</v>
      </c>
      <c r="G1808" s="1801">
        <v>20.16</v>
      </c>
      <c r="H1808" s="1802">
        <f>IF(E1808="H",G1808,TRUNC(G1808*(1-$K$7),2))</f>
        <v>20.16</v>
      </c>
      <c r="I1808" s="1803">
        <f t="shared" si="255"/>
        <v>1.9</v>
      </c>
      <c r="J1808" s="1795"/>
    </row>
    <row r="1809" spans="1:10">
      <c r="A1809" s="1943" t="s">
        <v>2477</v>
      </c>
      <c r="B1809" s="1944"/>
      <c r="C1809" s="1944"/>
      <c r="D1809" s="1944"/>
      <c r="E1809" s="1944"/>
      <c r="F1809" s="1944"/>
      <c r="G1809" s="1944"/>
      <c r="H1809" s="1945"/>
      <c r="I1809" s="1805">
        <f>SUM(I1804:I1808)</f>
        <v>4.2699999999999996</v>
      </c>
      <c r="J1809" s="1795"/>
    </row>
    <row r="1810" spans="1:10">
      <c r="A1810" s="1929"/>
      <c r="B1810" s="1930"/>
      <c r="C1810" s="1930"/>
      <c r="D1810" s="1930"/>
      <c r="E1810" s="1930"/>
      <c r="F1810" s="1930"/>
      <c r="G1810" s="1930"/>
      <c r="H1810" s="1930"/>
      <c r="I1810" s="1931"/>
      <c r="J1810" s="1795"/>
    </row>
    <row r="1811" spans="1:10" ht="25.5" customHeight="1">
      <c r="A1811" s="1784" t="str">
        <f>'PLANILHA SEM DESON'!B278</f>
        <v>COMP HIDR 06</v>
      </c>
      <c r="B1811" s="1940" t="str">
        <f>VLOOKUP(A1811,'PLANILHA SEM DESON'!$B$17:$D$1700,2,FALSE)</f>
        <v>ADAPTADOR CURTO COM BOLSA E ROSCA PARA REGISTRO, PVC, SOLDÁVEL, DN 50MM X 1.1/2,FORNECIMENTO E INSTALAÇÃO.</v>
      </c>
      <c r="C1811" s="1941"/>
      <c r="D1811" s="1941"/>
      <c r="E1811" s="1941"/>
      <c r="F1811" s="1941"/>
      <c r="G1811" s="1941"/>
      <c r="H1811" s="1942"/>
      <c r="I1811" s="1785" t="str">
        <f>VLOOKUP(A1811,'PLANILHA SEM DESON'!$B$17:$D$1700,3,FALSE)</f>
        <v xml:space="preserve">un </v>
      </c>
      <c r="J1811" s="1786">
        <f>I1819</f>
        <v>12.760000000000002</v>
      </c>
    </row>
    <row r="1812" spans="1:10" ht="24">
      <c r="A1812" s="1788" t="s">
        <v>2470</v>
      </c>
      <c r="B1812" s="1789" t="s">
        <v>2471</v>
      </c>
      <c r="C1812" s="1790" t="s">
        <v>2468</v>
      </c>
      <c r="D1812" s="1791" t="s">
        <v>308</v>
      </c>
      <c r="E1812" s="1790" t="s">
        <v>202</v>
      </c>
      <c r="F1812" s="1792" t="s">
        <v>2472</v>
      </c>
      <c r="G1812" s="1790" t="s">
        <v>2473</v>
      </c>
      <c r="H1812" s="1793" t="s">
        <v>2474</v>
      </c>
      <c r="I1812" s="1794" t="s">
        <v>2475</v>
      </c>
      <c r="J1812" s="1795"/>
    </row>
    <row r="1813" spans="1:10" ht="24">
      <c r="A1813" s="1797"/>
      <c r="B1813" s="1798"/>
      <c r="C1813" s="1798" t="s">
        <v>461</v>
      </c>
      <c r="D1813" s="1799" t="s">
        <v>101</v>
      </c>
      <c r="E1813" s="1800" t="s">
        <v>57</v>
      </c>
      <c r="F1813" s="1817">
        <v>7.1999999999999995E-2</v>
      </c>
      <c r="G1813" s="1808">
        <v>20.16</v>
      </c>
      <c r="H1813" s="1802">
        <f t="shared" ref="H1813:H1818" si="256">IF(E1813="H",G1813,TRUNC(G1813*(1-$K$7),2))</f>
        <v>20.16</v>
      </c>
      <c r="I1813" s="1803">
        <f t="shared" ref="I1813:I1818" si="257">TRUNC(H1813*F1813,2)</f>
        <v>1.45</v>
      </c>
      <c r="J1813" s="1795"/>
    </row>
    <row r="1814" spans="1:10" ht="24">
      <c r="A1814" s="1797"/>
      <c r="B1814" s="1798"/>
      <c r="C1814" s="1798" t="s">
        <v>462</v>
      </c>
      <c r="D1814" s="1799" t="s">
        <v>102</v>
      </c>
      <c r="E1814" s="1800" t="s">
        <v>57</v>
      </c>
      <c r="F1814" s="1817">
        <v>7.1999999999999995E-2</v>
      </c>
      <c r="G1814" s="1808">
        <v>24.64</v>
      </c>
      <c r="H1814" s="1802">
        <f t="shared" si="256"/>
        <v>24.64</v>
      </c>
      <c r="I1814" s="1803">
        <f t="shared" si="257"/>
        <v>1.77</v>
      </c>
      <c r="J1814" s="1795"/>
    </row>
    <row r="1815" spans="1:10" ht="24">
      <c r="A1815" s="1797"/>
      <c r="B1815" s="1798"/>
      <c r="C1815" s="1798">
        <v>112</v>
      </c>
      <c r="D1815" s="1799" t="s">
        <v>481</v>
      </c>
      <c r="E1815" s="1800" t="s">
        <v>55</v>
      </c>
      <c r="F1815" s="1817">
        <v>1</v>
      </c>
      <c r="G1815" s="1806">
        <v>6.25</v>
      </c>
      <c r="H1815" s="1802">
        <f t="shared" si="256"/>
        <v>6.21</v>
      </c>
      <c r="I1815" s="1803">
        <f t="shared" si="257"/>
        <v>6.21</v>
      </c>
      <c r="J1815" s="1795"/>
    </row>
    <row r="1816" spans="1:10">
      <c r="A1816" s="1797"/>
      <c r="B1816" s="1798"/>
      <c r="C1816" s="1798">
        <v>122</v>
      </c>
      <c r="D1816" s="1799" t="s">
        <v>125</v>
      </c>
      <c r="E1816" s="1800" t="s">
        <v>55</v>
      </c>
      <c r="F1816" s="1817">
        <v>1.7999999999999999E-2</v>
      </c>
      <c r="G1816" s="1806">
        <v>76.86</v>
      </c>
      <c r="H1816" s="1802">
        <f t="shared" si="256"/>
        <v>76.459999999999994</v>
      </c>
      <c r="I1816" s="1803">
        <f t="shared" si="257"/>
        <v>1.37</v>
      </c>
      <c r="J1816" s="1795"/>
    </row>
    <row r="1817" spans="1:10" ht="24">
      <c r="A1817" s="1797"/>
      <c r="B1817" s="1798"/>
      <c r="C1817" s="1798">
        <v>20083</v>
      </c>
      <c r="D1817" s="1799" t="s">
        <v>126</v>
      </c>
      <c r="E1817" s="1800" t="s">
        <v>55</v>
      </c>
      <c r="F1817" s="1817">
        <v>2.1999999999999999E-2</v>
      </c>
      <c r="G1817" s="1806">
        <v>87.08</v>
      </c>
      <c r="H1817" s="1802">
        <f t="shared" si="256"/>
        <v>86.63</v>
      </c>
      <c r="I1817" s="1803">
        <f t="shared" si="257"/>
        <v>1.9</v>
      </c>
      <c r="J1817" s="1795"/>
    </row>
    <row r="1818" spans="1:10">
      <c r="A1818" s="1797"/>
      <c r="B1818" s="1798"/>
      <c r="C1818" s="1798">
        <v>38383</v>
      </c>
      <c r="D1818" s="1799" t="s">
        <v>171</v>
      </c>
      <c r="E1818" s="1800" t="s">
        <v>55</v>
      </c>
      <c r="F1818" s="1817">
        <v>2.4E-2</v>
      </c>
      <c r="G1818" s="1808">
        <v>2.5299999999999998</v>
      </c>
      <c r="H1818" s="1802">
        <f t="shared" si="256"/>
        <v>2.5099999999999998</v>
      </c>
      <c r="I1818" s="1803">
        <f t="shared" si="257"/>
        <v>0.06</v>
      </c>
      <c r="J1818" s="1795"/>
    </row>
    <row r="1819" spans="1:10">
      <c r="A1819" s="1943" t="s">
        <v>2477</v>
      </c>
      <c r="B1819" s="1944"/>
      <c r="C1819" s="1944"/>
      <c r="D1819" s="1944"/>
      <c r="E1819" s="1944"/>
      <c r="F1819" s="1944"/>
      <c r="G1819" s="1944"/>
      <c r="H1819" s="1945"/>
      <c r="I1819" s="1805">
        <f>SUM(I1813:I1818)</f>
        <v>12.760000000000002</v>
      </c>
      <c r="J1819" s="1795"/>
    </row>
    <row r="1820" spans="1:10">
      <c r="A1820" s="1929"/>
      <c r="B1820" s="1930"/>
      <c r="C1820" s="1930"/>
      <c r="D1820" s="1930"/>
      <c r="E1820" s="1930"/>
      <c r="F1820" s="1930"/>
      <c r="G1820" s="1930"/>
      <c r="H1820" s="1930"/>
      <c r="I1820" s="1931"/>
      <c r="J1820" s="1795"/>
    </row>
    <row r="1821" spans="1:10" ht="27" customHeight="1">
      <c r="A1821" s="1784" t="str">
        <f>'PLANILHA SEM DESON'!B279</f>
        <v>COMP HIDR 07</v>
      </c>
      <c r="B1821" s="1940" t="str">
        <f>VLOOKUP(A1821,'PLANILHA SEM DESON'!$B$17:$D$1700,2,FALSE)</f>
        <v xml:space="preserve">BUCHA DE REDUCAO DE PVC, SOLDAVEL, LONGA, COM 50 X 25 MM, PARA AGUA FRIA PREDIAL, FORNECIMENTO E INSTALAÇÃO. </v>
      </c>
      <c r="C1821" s="1941"/>
      <c r="D1821" s="1941"/>
      <c r="E1821" s="1941"/>
      <c r="F1821" s="1941"/>
      <c r="G1821" s="1941"/>
      <c r="H1821" s="1942"/>
      <c r="I1821" s="1785" t="str">
        <f>VLOOKUP(A1821,'PLANILHA SEM DESON'!$B$17:$D$1700,3,FALSE)</f>
        <v xml:space="preserve">un </v>
      </c>
      <c r="J1821" s="1786">
        <f>I1828</f>
        <v>11.5</v>
      </c>
    </row>
    <row r="1822" spans="1:10" ht="24">
      <c r="A1822" s="1788" t="s">
        <v>2470</v>
      </c>
      <c r="B1822" s="1789" t="s">
        <v>2471</v>
      </c>
      <c r="C1822" s="1790" t="s">
        <v>2468</v>
      </c>
      <c r="D1822" s="1791" t="s">
        <v>308</v>
      </c>
      <c r="E1822" s="1790" t="s">
        <v>202</v>
      </c>
      <c r="F1822" s="1792" t="s">
        <v>2472</v>
      </c>
      <c r="G1822" s="1790" t="s">
        <v>2473</v>
      </c>
      <c r="H1822" s="1793" t="s">
        <v>2474</v>
      </c>
      <c r="I1822" s="1794" t="s">
        <v>2475</v>
      </c>
      <c r="J1822" s="1795"/>
    </row>
    <row r="1823" spans="1:10" ht="24">
      <c r="A1823" s="1797"/>
      <c r="B1823" s="1798"/>
      <c r="C1823" s="1798" t="s">
        <v>461</v>
      </c>
      <c r="D1823" s="1799" t="s">
        <v>101</v>
      </c>
      <c r="E1823" s="1800" t="s">
        <v>57</v>
      </c>
      <c r="F1823" s="1817">
        <v>4.4999999999999998E-2</v>
      </c>
      <c r="G1823" s="1808">
        <v>20.16</v>
      </c>
      <c r="H1823" s="1802">
        <f>IF(E1823="H",G1823,TRUNC(G1823*(1-$K$7),2))</f>
        <v>20.16</v>
      </c>
      <c r="I1823" s="1803">
        <f t="shared" ref="I1823:I1827" si="258">TRUNC(H1823*F1823,2)</f>
        <v>0.9</v>
      </c>
      <c r="J1823" s="1795"/>
    </row>
    <row r="1824" spans="1:10" ht="24">
      <c r="A1824" s="1797"/>
      <c r="B1824" s="1798"/>
      <c r="C1824" s="1798" t="s">
        <v>462</v>
      </c>
      <c r="D1824" s="1799" t="s">
        <v>102</v>
      </c>
      <c r="E1824" s="1800" t="s">
        <v>57</v>
      </c>
      <c r="F1824" s="1817">
        <v>4.4999999999999998E-2</v>
      </c>
      <c r="G1824" s="1808">
        <v>24.64</v>
      </c>
      <c r="H1824" s="1802">
        <f>IF(E1824="H",G1824,TRUNC(G1824*(1-$K$7),2))</f>
        <v>24.64</v>
      </c>
      <c r="I1824" s="1803">
        <f t="shared" si="258"/>
        <v>1.1000000000000001</v>
      </c>
      <c r="J1824" s="1795"/>
    </row>
    <row r="1825" spans="1:10" ht="24">
      <c r="A1825" s="1797"/>
      <c r="B1825" s="1798"/>
      <c r="C1825" s="1798">
        <v>20085</v>
      </c>
      <c r="D1825" s="1799" t="s">
        <v>1795</v>
      </c>
      <c r="E1825" s="1800" t="s">
        <v>55</v>
      </c>
      <c r="F1825" s="1817">
        <v>1</v>
      </c>
      <c r="G1825" s="1806">
        <v>2.59</v>
      </c>
      <c r="H1825" s="1802">
        <f>IF(E1825="H",G1825,TRUNC(G1825*(1-$K$7),2))</f>
        <v>2.57</v>
      </c>
      <c r="I1825" s="1803">
        <f t="shared" si="258"/>
        <v>2.57</v>
      </c>
      <c r="J1825" s="1795"/>
    </row>
    <row r="1826" spans="1:10" ht="36">
      <c r="A1826" s="1797"/>
      <c r="B1826" s="1798"/>
      <c r="C1826" s="1798">
        <v>20078</v>
      </c>
      <c r="D1826" s="1799" t="s">
        <v>1794</v>
      </c>
      <c r="E1826" s="1800" t="s">
        <v>55</v>
      </c>
      <c r="F1826" s="1817">
        <v>0.02</v>
      </c>
      <c r="G1826" s="1806">
        <v>31.72</v>
      </c>
      <c r="H1826" s="1802">
        <f>IF(E1826="H",G1826,TRUNC(G1826*(1-$K$7),2))</f>
        <v>31.55</v>
      </c>
      <c r="I1826" s="1803">
        <f t="shared" si="258"/>
        <v>0.63</v>
      </c>
      <c r="J1826" s="1795"/>
    </row>
    <row r="1827" spans="1:10" ht="24">
      <c r="A1827" s="1797"/>
      <c r="B1827" s="1798"/>
      <c r="C1827" s="1798">
        <v>813</v>
      </c>
      <c r="D1827" s="1799" t="s">
        <v>1797</v>
      </c>
      <c r="E1827" s="1800" t="s">
        <v>55</v>
      </c>
      <c r="F1827" s="1817">
        <v>1</v>
      </c>
      <c r="G1827" s="1808">
        <v>6.34</v>
      </c>
      <c r="H1827" s="1802">
        <f>IF(E1827="H",G1827,TRUNC(G1827*(1-$K$7),2))</f>
        <v>6.3</v>
      </c>
      <c r="I1827" s="1803">
        <f t="shared" si="258"/>
        <v>6.3</v>
      </c>
      <c r="J1827" s="1795"/>
    </row>
    <row r="1828" spans="1:10">
      <c r="A1828" s="1943" t="s">
        <v>2477</v>
      </c>
      <c r="B1828" s="1944"/>
      <c r="C1828" s="1944"/>
      <c r="D1828" s="1944"/>
      <c r="E1828" s="1944"/>
      <c r="F1828" s="1944"/>
      <c r="G1828" s="1944"/>
      <c r="H1828" s="1945"/>
      <c r="I1828" s="1805">
        <f>SUM(I1823:I1827)</f>
        <v>11.5</v>
      </c>
      <c r="J1828" s="1795"/>
    </row>
    <row r="1829" spans="1:10">
      <c r="A1829" s="1929"/>
      <c r="B1829" s="1930"/>
      <c r="C1829" s="1930"/>
      <c r="D1829" s="1930"/>
      <c r="E1829" s="1930"/>
      <c r="F1829" s="1930"/>
      <c r="G1829" s="1930"/>
      <c r="H1829" s="1930"/>
      <c r="I1829" s="1931"/>
      <c r="J1829" s="1795"/>
    </row>
    <row r="1830" spans="1:10" ht="25.5" customHeight="1">
      <c r="A1830" s="1784">
        <f>'PLANILHA SEM DESON'!B280</f>
        <v>89395</v>
      </c>
      <c r="B1830" s="1940" t="str">
        <f>VLOOKUP(A1830,'PLANILHA SEM DESON'!$B$17:$D$1700,2,FALSE)</f>
        <v>TÊ, PVC, SOLDÁVEL, DN 25MM, INSTALADO EM RAMAL OU SUB-RAMAL DE ÁGUA - FORNECIMENTO E INSTALAÇÃO. AF_12/2014</v>
      </c>
      <c r="C1830" s="1941"/>
      <c r="D1830" s="1941"/>
      <c r="E1830" s="1941"/>
      <c r="F1830" s="1941"/>
      <c r="G1830" s="1941"/>
      <c r="H1830" s="1942"/>
      <c r="I1830" s="1785" t="str">
        <f>VLOOKUP(A1830,'PLANILHA SEM DESON'!$B$17:$D$1700,3,FALSE)</f>
        <v xml:space="preserve">un </v>
      </c>
      <c r="J1830" s="1786">
        <f>I1838</f>
        <v>12.71</v>
      </c>
    </row>
    <row r="1831" spans="1:10" ht="24">
      <c r="A1831" s="1788" t="s">
        <v>2470</v>
      </c>
      <c r="B1831" s="1789" t="s">
        <v>2471</v>
      </c>
      <c r="C1831" s="1790" t="s">
        <v>2468</v>
      </c>
      <c r="D1831" s="1791" t="s">
        <v>308</v>
      </c>
      <c r="E1831" s="1790" t="s">
        <v>202</v>
      </c>
      <c r="F1831" s="1792" t="s">
        <v>2472</v>
      </c>
      <c r="G1831" s="1790" t="s">
        <v>2473</v>
      </c>
      <c r="H1831" s="1793" t="s">
        <v>2474</v>
      </c>
      <c r="I1831" s="1794" t="s">
        <v>2475</v>
      </c>
      <c r="J1831" s="1795"/>
    </row>
    <row r="1832" spans="1:10">
      <c r="A1832" s="1797" t="s">
        <v>2476</v>
      </c>
      <c r="B1832" s="1798" t="s">
        <v>2479</v>
      </c>
      <c r="C1832" s="1798">
        <v>122</v>
      </c>
      <c r="D1832" s="1799" t="s">
        <v>2732</v>
      </c>
      <c r="E1832" s="1800" t="s">
        <v>2501</v>
      </c>
      <c r="F1832" s="1807">
        <v>1.06E-2</v>
      </c>
      <c r="G1832" s="1801">
        <v>76.86</v>
      </c>
      <c r="H1832" s="1802">
        <f t="shared" ref="H1832:H1837" si="259">IF(E1832="H",G1832,TRUNC(G1832*(1-$K$7),2))</f>
        <v>76.459999999999994</v>
      </c>
      <c r="I1832" s="1803">
        <f t="shared" ref="I1832:I1837" si="260">TRUNC(H1832*F1832,2)</f>
        <v>0.81</v>
      </c>
      <c r="J1832" s="1795"/>
    </row>
    <row r="1833" spans="1:10" ht="24">
      <c r="A1833" s="1797" t="s">
        <v>2476</v>
      </c>
      <c r="B1833" s="1798" t="s">
        <v>2479</v>
      </c>
      <c r="C1833" s="1798">
        <v>7139</v>
      </c>
      <c r="D1833" s="1799" t="s">
        <v>2746</v>
      </c>
      <c r="E1833" s="1800" t="s">
        <v>2501</v>
      </c>
      <c r="F1833" s="1807">
        <v>1</v>
      </c>
      <c r="G1833" s="1801">
        <v>1.69</v>
      </c>
      <c r="H1833" s="1802">
        <f t="shared" si="259"/>
        <v>1.68</v>
      </c>
      <c r="I1833" s="1803">
        <f t="shared" si="260"/>
        <v>1.68</v>
      </c>
      <c r="J1833" s="1795"/>
    </row>
    <row r="1834" spans="1:10" ht="24">
      <c r="A1834" s="1797" t="s">
        <v>2476</v>
      </c>
      <c r="B1834" s="1798" t="s">
        <v>2479</v>
      </c>
      <c r="C1834" s="1798">
        <v>20083</v>
      </c>
      <c r="D1834" s="1799" t="s">
        <v>2606</v>
      </c>
      <c r="E1834" s="1800" t="s">
        <v>2501</v>
      </c>
      <c r="F1834" s="1807">
        <v>1.2E-2</v>
      </c>
      <c r="G1834" s="1801">
        <v>87.08</v>
      </c>
      <c r="H1834" s="1802">
        <f t="shared" si="259"/>
        <v>86.63</v>
      </c>
      <c r="I1834" s="1803">
        <f t="shared" si="260"/>
        <v>1.03</v>
      </c>
      <c r="J1834" s="1795"/>
    </row>
    <row r="1835" spans="1:10">
      <c r="A1835" s="1797" t="s">
        <v>2476</v>
      </c>
      <c r="B1835" s="1798" t="s">
        <v>2479</v>
      </c>
      <c r="C1835" s="1798">
        <v>38383</v>
      </c>
      <c r="D1835" s="1799" t="s">
        <v>2607</v>
      </c>
      <c r="E1835" s="1800" t="s">
        <v>2501</v>
      </c>
      <c r="F1835" s="1807">
        <v>5.0700000000000002E-2</v>
      </c>
      <c r="G1835" s="1801">
        <v>2.56</v>
      </c>
      <c r="H1835" s="1802">
        <f t="shared" si="259"/>
        <v>2.54</v>
      </c>
      <c r="I1835" s="1803">
        <f t="shared" si="260"/>
        <v>0.12</v>
      </c>
      <c r="J1835" s="1795"/>
    </row>
    <row r="1836" spans="1:10" ht="24">
      <c r="A1836" s="1797" t="s">
        <v>2476</v>
      </c>
      <c r="B1836" s="1798" t="s">
        <v>7</v>
      </c>
      <c r="C1836" s="1798">
        <v>88248</v>
      </c>
      <c r="D1836" s="1799" t="s">
        <v>101</v>
      </c>
      <c r="E1836" s="1800" t="s">
        <v>411</v>
      </c>
      <c r="F1836" s="1807">
        <v>0.2026</v>
      </c>
      <c r="G1836" s="1801">
        <v>20.16</v>
      </c>
      <c r="H1836" s="1802">
        <f t="shared" si="259"/>
        <v>20.16</v>
      </c>
      <c r="I1836" s="1803">
        <f t="shared" si="260"/>
        <v>4.08</v>
      </c>
      <c r="J1836" s="1795"/>
    </row>
    <row r="1837" spans="1:10" ht="24">
      <c r="A1837" s="1797" t="s">
        <v>2476</v>
      </c>
      <c r="B1837" s="1798" t="s">
        <v>7</v>
      </c>
      <c r="C1837" s="1798">
        <v>88267</v>
      </c>
      <c r="D1837" s="1799" t="s">
        <v>102</v>
      </c>
      <c r="E1837" s="1800" t="s">
        <v>411</v>
      </c>
      <c r="F1837" s="1807">
        <v>0.2026</v>
      </c>
      <c r="G1837" s="1801">
        <v>24.64</v>
      </c>
      <c r="H1837" s="1802">
        <f t="shared" si="259"/>
        <v>24.64</v>
      </c>
      <c r="I1837" s="1803">
        <f t="shared" si="260"/>
        <v>4.99</v>
      </c>
      <c r="J1837" s="1795"/>
    </row>
    <row r="1838" spans="1:10">
      <c r="A1838" s="1943" t="s">
        <v>2477</v>
      </c>
      <c r="B1838" s="1944"/>
      <c r="C1838" s="1944"/>
      <c r="D1838" s="1944"/>
      <c r="E1838" s="1944"/>
      <c r="F1838" s="1944"/>
      <c r="G1838" s="1944"/>
      <c r="H1838" s="1945"/>
      <c r="I1838" s="1805">
        <f>SUM(I1832:I1837)</f>
        <v>12.71</v>
      </c>
      <c r="J1838" s="1795"/>
    </row>
    <row r="1839" spans="1:10">
      <c r="A1839" s="1929"/>
      <c r="B1839" s="1930"/>
      <c r="C1839" s="1930"/>
      <c r="D1839" s="1930"/>
      <c r="E1839" s="1930"/>
      <c r="F1839" s="1930"/>
      <c r="G1839" s="1930"/>
      <c r="H1839" s="1930"/>
      <c r="I1839" s="1931"/>
      <c r="J1839" s="1795"/>
    </row>
    <row r="1840" spans="1:10" ht="24" customHeight="1">
      <c r="A1840" s="1784" t="str">
        <f>'PLANILHA SEM DESON'!B281</f>
        <v>COMP HIDR  08</v>
      </c>
      <c r="B1840" s="1940" t="str">
        <f>VLOOKUP(A1840,'PLANILHA SEM DESON'!$B$17:$D$1700,2,FALSE)</f>
        <v>TÊ DE REDUÇÃO, PVC, SOLDÁVEL, DN 50MM X 25MM, FORNECIMENTO E INSTALAÇÃO.</v>
      </c>
      <c r="C1840" s="1941"/>
      <c r="D1840" s="1941"/>
      <c r="E1840" s="1941"/>
      <c r="F1840" s="1941"/>
      <c r="G1840" s="1941"/>
      <c r="H1840" s="1942"/>
      <c r="I1840" s="1785" t="str">
        <f>VLOOKUP(A1840,'PLANILHA SEM DESON'!$B$17:$D$1700,3,FALSE)</f>
        <v xml:space="preserve">un </v>
      </c>
      <c r="J1840" s="1786">
        <f>I1848</f>
        <v>35</v>
      </c>
    </row>
    <row r="1841" spans="1:10" ht="24">
      <c r="A1841" s="1788" t="s">
        <v>2470</v>
      </c>
      <c r="B1841" s="1789" t="s">
        <v>2471</v>
      </c>
      <c r="C1841" s="1790" t="s">
        <v>2468</v>
      </c>
      <c r="D1841" s="1791" t="s">
        <v>308</v>
      </c>
      <c r="E1841" s="1790" t="s">
        <v>202</v>
      </c>
      <c r="F1841" s="1792" t="s">
        <v>2472</v>
      </c>
      <c r="G1841" s="1790" t="s">
        <v>2473</v>
      </c>
      <c r="H1841" s="1793" t="s">
        <v>2474</v>
      </c>
      <c r="I1841" s="1794" t="s">
        <v>2475</v>
      </c>
      <c r="J1841" s="1795"/>
    </row>
    <row r="1842" spans="1:10" ht="24">
      <c r="A1842" s="1797"/>
      <c r="B1842" s="1798"/>
      <c r="C1842" s="1798" t="s">
        <v>461</v>
      </c>
      <c r="D1842" s="1799" t="s">
        <v>101</v>
      </c>
      <c r="E1842" s="1800" t="s">
        <v>57</v>
      </c>
      <c r="F1842" s="1817">
        <v>0.20899999999999999</v>
      </c>
      <c r="G1842" s="1808">
        <v>20.16</v>
      </c>
      <c r="H1842" s="1802">
        <f t="shared" ref="H1842:H1847" si="261">IF(E1842="H",G1842,TRUNC(G1842*(1-$K$7),2))</f>
        <v>20.16</v>
      </c>
      <c r="I1842" s="1803">
        <f t="shared" ref="I1842:I1847" si="262">TRUNC(H1842*F1842,2)</f>
        <v>4.21</v>
      </c>
      <c r="J1842" s="1795"/>
    </row>
    <row r="1843" spans="1:10" ht="24">
      <c r="A1843" s="1797"/>
      <c r="B1843" s="1798"/>
      <c r="C1843" s="1798" t="s">
        <v>462</v>
      </c>
      <c r="D1843" s="1799" t="s">
        <v>102</v>
      </c>
      <c r="E1843" s="1800" t="s">
        <v>57</v>
      </c>
      <c r="F1843" s="1817">
        <v>0.20899999999999999</v>
      </c>
      <c r="G1843" s="1808">
        <v>24.64</v>
      </c>
      <c r="H1843" s="1802">
        <f t="shared" si="261"/>
        <v>24.64</v>
      </c>
      <c r="I1843" s="1803">
        <f t="shared" si="262"/>
        <v>5.14</v>
      </c>
      <c r="J1843" s="1795"/>
    </row>
    <row r="1844" spans="1:10">
      <c r="A1844" s="1797"/>
      <c r="B1844" s="1798"/>
      <c r="C1844" s="1798">
        <v>122</v>
      </c>
      <c r="D1844" s="1799" t="s">
        <v>125</v>
      </c>
      <c r="E1844" s="1800" t="s">
        <v>55</v>
      </c>
      <c r="F1844" s="1817">
        <v>0.06</v>
      </c>
      <c r="G1844" s="1806">
        <v>76.86</v>
      </c>
      <c r="H1844" s="1802">
        <f t="shared" si="261"/>
        <v>76.459999999999994</v>
      </c>
      <c r="I1844" s="1803">
        <f t="shared" si="262"/>
        <v>4.58</v>
      </c>
      <c r="J1844" s="1795"/>
    </row>
    <row r="1845" spans="1:10" ht="24">
      <c r="A1845" s="1797"/>
      <c r="B1845" s="1798"/>
      <c r="C1845" s="1798">
        <v>7129</v>
      </c>
      <c r="D1845" s="1799" t="s">
        <v>485</v>
      </c>
      <c r="E1845" s="1800" t="s">
        <v>55</v>
      </c>
      <c r="F1845" s="1817">
        <v>1</v>
      </c>
      <c r="G1845" s="1806">
        <v>14.27</v>
      </c>
      <c r="H1845" s="1802">
        <f t="shared" si="261"/>
        <v>14.19</v>
      </c>
      <c r="I1845" s="1803">
        <f t="shared" si="262"/>
        <v>14.19</v>
      </c>
      <c r="J1845" s="1795"/>
    </row>
    <row r="1846" spans="1:10" ht="24">
      <c r="A1846" s="1797"/>
      <c r="B1846" s="1798"/>
      <c r="C1846" s="1798">
        <v>20083</v>
      </c>
      <c r="D1846" s="1799" t="s">
        <v>126</v>
      </c>
      <c r="E1846" s="1800" t="s">
        <v>55</v>
      </c>
      <c r="F1846" s="1817">
        <v>7.8E-2</v>
      </c>
      <c r="G1846" s="1806">
        <v>87.08</v>
      </c>
      <c r="H1846" s="1802">
        <f t="shared" si="261"/>
        <v>86.63</v>
      </c>
      <c r="I1846" s="1803">
        <f t="shared" si="262"/>
        <v>6.75</v>
      </c>
      <c r="J1846" s="1795"/>
    </row>
    <row r="1847" spans="1:10">
      <c r="A1847" s="1797"/>
      <c r="B1847" s="1798"/>
      <c r="C1847" s="1798">
        <v>38383</v>
      </c>
      <c r="D1847" s="1799" t="s">
        <v>171</v>
      </c>
      <c r="E1847" s="1800" t="s">
        <v>55</v>
      </c>
      <c r="F1847" s="1817">
        <v>5.2999999999999999E-2</v>
      </c>
      <c r="G1847" s="1808">
        <v>2.5299999999999998</v>
      </c>
      <c r="H1847" s="1802">
        <f t="shared" si="261"/>
        <v>2.5099999999999998</v>
      </c>
      <c r="I1847" s="1803">
        <f t="shared" si="262"/>
        <v>0.13</v>
      </c>
      <c r="J1847" s="1795"/>
    </row>
    <row r="1848" spans="1:10">
      <c r="A1848" s="1943" t="s">
        <v>2477</v>
      </c>
      <c r="B1848" s="1944"/>
      <c r="C1848" s="1944"/>
      <c r="D1848" s="1944"/>
      <c r="E1848" s="1944"/>
      <c r="F1848" s="1944"/>
      <c r="G1848" s="1944"/>
      <c r="H1848" s="1945"/>
      <c r="I1848" s="1805">
        <f>SUM(I1842:I1847)</f>
        <v>35</v>
      </c>
      <c r="J1848" s="1795"/>
    </row>
    <row r="1849" spans="1:10">
      <c r="A1849" s="1929"/>
      <c r="B1849" s="1930"/>
      <c r="C1849" s="1930"/>
      <c r="D1849" s="1930"/>
      <c r="E1849" s="1930"/>
      <c r="F1849" s="1930"/>
      <c r="G1849" s="1930"/>
      <c r="H1849" s="1930"/>
      <c r="I1849" s="1931"/>
      <c r="J1849" s="1795"/>
    </row>
    <row r="1850" spans="1:10" ht="24.75" customHeight="1">
      <c r="A1850" s="1784" t="str">
        <f>'PLANILHA SEM DESON'!B282</f>
        <v>COMP HIDR 09</v>
      </c>
      <c r="B1850" s="1940" t="str">
        <f>VLOOKUP(A1850,'PLANILHA SEM DESON'!$B$17:$D$1700,2,FALSE)</f>
        <v xml:space="preserve">TÊ, PVC, SOLDÁVEL, DN 50MM, FORNECIMENTO E INSTALAÇÃO. </v>
      </c>
      <c r="C1850" s="1941"/>
      <c r="D1850" s="1941"/>
      <c r="E1850" s="1941"/>
      <c r="F1850" s="1941"/>
      <c r="G1850" s="1941"/>
      <c r="H1850" s="1942"/>
      <c r="I1850" s="1785" t="str">
        <f>VLOOKUP(A1850,'PLANILHA SEM DESON'!$B$17:$D$1700,3,FALSE)</f>
        <v xml:space="preserve">un </v>
      </c>
      <c r="J1850" s="1786">
        <f>I1858</f>
        <v>34.26</v>
      </c>
    </row>
    <row r="1851" spans="1:10" ht="24">
      <c r="A1851" s="1788" t="s">
        <v>2470</v>
      </c>
      <c r="B1851" s="1789" t="s">
        <v>2471</v>
      </c>
      <c r="C1851" s="1790" t="s">
        <v>2468</v>
      </c>
      <c r="D1851" s="1791" t="s">
        <v>308</v>
      </c>
      <c r="E1851" s="1790" t="s">
        <v>202</v>
      </c>
      <c r="F1851" s="1792" t="s">
        <v>2472</v>
      </c>
      <c r="G1851" s="1790" t="s">
        <v>2473</v>
      </c>
      <c r="H1851" s="1793" t="s">
        <v>2474</v>
      </c>
      <c r="I1851" s="1794" t="s">
        <v>2475</v>
      </c>
      <c r="J1851" s="1795"/>
    </row>
    <row r="1852" spans="1:10" ht="24">
      <c r="A1852" s="1797"/>
      <c r="B1852" s="1798"/>
      <c r="C1852" s="1798" t="s">
        <v>461</v>
      </c>
      <c r="D1852" s="1799" t="s">
        <v>101</v>
      </c>
      <c r="E1852" s="1800" t="s">
        <v>57</v>
      </c>
      <c r="F1852" s="1814">
        <v>0.20899999999999999</v>
      </c>
      <c r="G1852" s="1808">
        <v>20.16</v>
      </c>
      <c r="H1852" s="1802">
        <f t="shared" ref="H1852:H1857" si="263">IF(E1852="H",G1852,TRUNC(G1852*(1-$K$7),2))</f>
        <v>20.16</v>
      </c>
      <c r="I1852" s="1803">
        <f t="shared" ref="I1852:I1857" si="264">TRUNC(H1852*F1852,2)</f>
        <v>4.21</v>
      </c>
      <c r="J1852" s="1795"/>
    </row>
    <row r="1853" spans="1:10" ht="24">
      <c r="A1853" s="1797"/>
      <c r="B1853" s="1798"/>
      <c r="C1853" s="1798" t="s">
        <v>462</v>
      </c>
      <c r="D1853" s="1799" t="s">
        <v>102</v>
      </c>
      <c r="E1853" s="1800" t="s">
        <v>57</v>
      </c>
      <c r="F1853" s="1814">
        <v>0.20899999999999999</v>
      </c>
      <c r="G1853" s="1808">
        <v>24.64</v>
      </c>
      <c r="H1853" s="1802">
        <f t="shared" si="263"/>
        <v>24.64</v>
      </c>
      <c r="I1853" s="1803">
        <f t="shared" si="264"/>
        <v>5.14</v>
      </c>
      <c r="J1853" s="1795"/>
    </row>
    <row r="1854" spans="1:10" ht="24">
      <c r="A1854" s="1797"/>
      <c r="B1854" s="1798"/>
      <c r="C1854" s="1798">
        <v>7142</v>
      </c>
      <c r="D1854" s="1799" t="s">
        <v>496</v>
      </c>
      <c r="E1854" s="1800" t="s">
        <v>55</v>
      </c>
      <c r="F1854" s="1817">
        <v>1</v>
      </c>
      <c r="G1854" s="1806">
        <v>13.52</v>
      </c>
      <c r="H1854" s="1802">
        <f t="shared" si="263"/>
        <v>13.45</v>
      </c>
      <c r="I1854" s="1803">
        <f t="shared" si="264"/>
        <v>13.45</v>
      </c>
      <c r="J1854" s="1795"/>
    </row>
    <row r="1855" spans="1:10">
      <c r="A1855" s="1797"/>
      <c r="B1855" s="1798"/>
      <c r="C1855" s="1798">
        <v>122</v>
      </c>
      <c r="D1855" s="1799" t="s">
        <v>125</v>
      </c>
      <c r="E1855" s="1800" t="s">
        <v>55</v>
      </c>
      <c r="F1855" s="1817">
        <v>0.06</v>
      </c>
      <c r="G1855" s="1806">
        <v>76.86</v>
      </c>
      <c r="H1855" s="1802">
        <f t="shared" si="263"/>
        <v>76.459999999999994</v>
      </c>
      <c r="I1855" s="1803">
        <f t="shared" si="264"/>
        <v>4.58</v>
      </c>
      <c r="J1855" s="1795"/>
    </row>
    <row r="1856" spans="1:10" ht="24">
      <c r="A1856" s="1797"/>
      <c r="B1856" s="1798"/>
      <c r="C1856" s="1798">
        <v>20083</v>
      </c>
      <c r="D1856" s="1799" t="s">
        <v>126</v>
      </c>
      <c r="E1856" s="1800" t="s">
        <v>55</v>
      </c>
      <c r="F1856" s="1817">
        <v>7.8E-2</v>
      </c>
      <c r="G1856" s="1806">
        <v>87.08</v>
      </c>
      <c r="H1856" s="1802">
        <f t="shared" si="263"/>
        <v>86.63</v>
      </c>
      <c r="I1856" s="1803">
        <f t="shared" si="264"/>
        <v>6.75</v>
      </c>
      <c r="J1856" s="1795"/>
    </row>
    <row r="1857" spans="1:10">
      <c r="A1857" s="1797"/>
      <c r="B1857" s="1798"/>
      <c r="C1857" s="1798">
        <v>38383</v>
      </c>
      <c r="D1857" s="1799" t="s">
        <v>171</v>
      </c>
      <c r="E1857" s="1800" t="s">
        <v>55</v>
      </c>
      <c r="F1857" s="1817">
        <v>5.2999999999999999E-2</v>
      </c>
      <c r="G1857" s="1808">
        <v>2.5299999999999998</v>
      </c>
      <c r="H1857" s="1802">
        <f t="shared" si="263"/>
        <v>2.5099999999999998</v>
      </c>
      <c r="I1857" s="1803">
        <f t="shared" si="264"/>
        <v>0.13</v>
      </c>
      <c r="J1857" s="1795"/>
    </row>
    <row r="1858" spans="1:10">
      <c r="A1858" s="1943" t="s">
        <v>2477</v>
      </c>
      <c r="B1858" s="1944"/>
      <c r="C1858" s="1944"/>
      <c r="D1858" s="1944"/>
      <c r="E1858" s="1944"/>
      <c r="F1858" s="1944"/>
      <c r="G1858" s="1944"/>
      <c r="H1858" s="1945"/>
      <c r="I1858" s="1805">
        <f>SUM(I1852:I1857)</f>
        <v>34.26</v>
      </c>
      <c r="J1858" s="1795"/>
    </row>
    <row r="1859" spans="1:10">
      <c r="A1859" s="1929"/>
      <c r="B1859" s="1930"/>
      <c r="C1859" s="1930"/>
      <c r="D1859" s="1930"/>
      <c r="E1859" s="1930"/>
      <c r="F1859" s="1930"/>
      <c r="G1859" s="1930"/>
      <c r="H1859" s="1930"/>
      <c r="I1859" s="1931"/>
      <c r="J1859" s="1795"/>
    </row>
    <row r="1860" spans="1:10" ht="24" customHeight="1">
      <c r="A1860" s="1784">
        <f>'PLANILHA SEM DESON'!B283</f>
        <v>89366</v>
      </c>
      <c r="B1860" s="1940" t="str">
        <f>VLOOKUP(A1860,'PLANILHA SEM DESON'!$B$17:$D$1700,2,FALSE)</f>
        <v>JOELHO 90 GRAUS COM BUCHA DE LATÃO, PVC, SOLDÁVEL, DN 25MM, X 3/4 INSTALADO EM RAMAL OU SUB-RAMAL DE ÁGUA - FORNECIMENTO E INSTALAÇÃO. AF_12/2014</v>
      </c>
      <c r="C1860" s="1941"/>
      <c r="D1860" s="1941"/>
      <c r="E1860" s="1941"/>
      <c r="F1860" s="1941"/>
      <c r="G1860" s="1941"/>
      <c r="H1860" s="1942"/>
      <c r="I1860" s="1785" t="str">
        <f>VLOOKUP(A1860,'PLANILHA SEM DESON'!$B$17:$D$1700,3,FALSE)</f>
        <v xml:space="preserve">un </v>
      </c>
      <c r="J1860" s="1786">
        <f>I1868</f>
        <v>18.7</v>
      </c>
    </row>
    <row r="1861" spans="1:10" ht="24">
      <c r="A1861" s="1788" t="s">
        <v>2470</v>
      </c>
      <c r="B1861" s="1789" t="s">
        <v>2471</v>
      </c>
      <c r="C1861" s="1790" t="s">
        <v>2468</v>
      </c>
      <c r="D1861" s="1791" t="s">
        <v>308</v>
      </c>
      <c r="E1861" s="1790" t="s">
        <v>202</v>
      </c>
      <c r="F1861" s="1792" t="s">
        <v>2472</v>
      </c>
      <c r="G1861" s="1790" t="s">
        <v>2473</v>
      </c>
      <c r="H1861" s="1793" t="s">
        <v>2474</v>
      </c>
      <c r="I1861" s="1794" t="s">
        <v>2475</v>
      </c>
      <c r="J1861" s="1795"/>
    </row>
    <row r="1862" spans="1:10">
      <c r="A1862" s="1797" t="s">
        <v>2476</v>
      </c>
      <c r="B1862" s="1798" t="s">
        <v>2479</v>
      </c>
      <c r="C1862" s="1798">
        <v>122</v>
      </c>
      <c r="D1862" s="1799" t="s">
        <v>2732</v>
      </c>
      <c r="E1862" s="1800" t="s">
        <v>2501</v>
      </c>
      <c r="F1862" s="1807">
        <v>5.8999999999999999E-3</v>
      </c>
      <c r="G1862" s="1801">
        <v>76.86</v>
      </c>
      <c r="H1862" s="1802">
        <f t="shared" ref="H1862:H1867" si="265">IF(E1862="H",G1862,TRUNC(G1862*(1-$K$7),2))</f>
        <v>76.459999999999994</v>
      </c>
      <c r="I1862" s="1803">
        <f t="shared" ref="I1862:I1867" si="266">TRUNC(H1862*F1862,2)</f>
        <v>0.45</v>
      </c>
      <c r="J1862" s="1795"/>
    </row>
    <row r="1863" spans="1:10" ht="24">
      <c r="A1863" s="1797" t="s">
        <v>2476</v>
      </c>
      <c r="B1863" s="1798" t="s">
        <v>2479</v>
      </c>
      <c r="C1863" s="1798">
        <v>3524</v>
      </c>
      <c r="D1863" s="1799" t="s">
        <v>2747</v>
      </c>
      <c r="E1863" s="1800" t="s">
        <v>2501</v>
      </c>
      <c r="F1863" s="1807">
        <v>1</v>
      </c>
      <c r="G1863" s="1801">
        <v>11.3</v>
      </c>
      <c r="H1863" s="1802">
        <f t="shared" si="265"/>
        <v>11.24</v>
      </c>
      <c r="I1863" s="1803">
        <f t="shared" si="266"/>
        <v>11.24</v>
      </c>
      <c r="J1863" s="1795"/>
    </row>
    <row r="1864" spans="1:10" ht="24">
      <c r="A1864" s="1797" t="s">
        <v>2476</v>
      </c>
      <c r="B1864" s="1798" t="s">
        <v>2479</v>
      </c>
      <c r="C1864" s="1798">
        <v>20083</v>
      </c>
      <c r="D1864" s="1799" t="s">
        <v>2606</v>
      </c>
      <c r="E1864" s="1800" t="s">
        <v>2501</v>
      </c>
      <c r="F1864" s="1807">
        <v>7.0000000000000001E-3</v>
      </c>
      <c r="G1864" s="1801">
        <v>87.08</v>
      </c>
      <c r="H1864" s="1802">
        <f t="shared" si="265"/>
        <v>86.63</v>
      </c>
      <c r="I1864" s="1803">
        <f t="shared" si="266"/>
        <v>0.6</v>
      </c>
      <c r="J1864" s="1795"/>
    </row>
    <row r="1865" spans="1:10">
      <c r="A1865" s="1797" t="s">
        <v>2476</v>
      </c>
      <c r="B1865" s="1798" t="s">
        <v>2479</v>
      </c>
      <c r="C1865" s="1798">
        <v>38383</v>
      </c>
      <c r="D1865" s="1799" t="s">
        <v>2607</v>
      </c>
      <c r="E1865" s="1800" t="s">
        <v>2501</v>
      </c>
      <c r="F1865" s="1807">
        <v>3.3799999999999997E-2</v>
      </c>
      <c r="G1865" s="1801">
        <v>2.56</v>
      </c>
      <c r="H1865" s="1802">
        <f t="shared" si="265"/>
        <v>2.54</v>
      </c>
      <c r="I1865" s="1803">
        <f t="shared" si="266"/>
        <v>0.08</v>
      </c>
      <c r="J1865" s="1795"/>
    </row>
    <row r="1866" spans="1:10" ht="24">
      <c r="A1866" s="1797" t="s">
        <v>2476</v>
      </c>
      <c r="B1866" s="1798" t="s">
        <v>7</v>
      </c>
      <c r="C1866" s="1798">
        <v>88248</v>
      </c>
      <c r="D1866" s="1799" t="s">
        <v>101</v>
      </c>
      <c r="E1866" s="1800" t="s">
        <v>411</v>
      </c>
      <c r="F1866" s="1807">
        <v>0.1416</v>
      </c>
      <c r="G1866" s="1801">
        <v>20.16</v>
      </c>
      <c r="H1866" s="1802">
        <f t="shared" si="265"/>
        <v>20.16</v>
      </c>
      <c r="I1866" s="1803">
        <f t="shared" si="266"/>
        <v>2.85</v>
      </c>
      <c r="J1866" s="1795"/>
    </row>
    <row r="1867" spans="1:10" ht="24">
      <c r="A1867" s="1797" t="s">
        <v>2476</v>
      </c>
      <c r="B1867" s="1798" t="s">
        <v>7</v>
      </c>
      <c r="C1867" s="1798">
        <v>88267</v>
      </c>
      <c r="D1867" s="1799" t="s">
        <v>102</v>
      </c>
      <c r="E1867" s="1800" t="s">
        <v>411</v>
      </c>
      <c r="F1867" s="1807">
        <v>0.1416</v>
      </c>
      <c r="G1867" s="1801">
        <v>24.64</v>
      </c>
      <c r="H1867" s="1802">
        <f t="shared" si="265"/>
        <v>24.64</v>
      </c>
      <c r="I1867" s="1803">
        <f t="shared" si="266"/>
        <v>3.48</v>
      </c>
      <c r="J1867" s="1795"/>
    </row>
    <row r="1868" spans="1:10">
      <c r="A1868" s="1943" t="s">
        <v>2477</v>
      </c>
      <c r="B1868" s="1944"/>
      <c r="C1868" s="1944"/>
      <c r="D1868" s="1944"/>
      <c r="E1868" s="1944"/>
      <c r="F1868" s="1944"/>
      <c r="G1868" s="1944"/>
      <c r="H1868" s="1945"/>
      <c r="I1868" s="1805">
        <f>SUM(I1862:I1867)</f>
        <v>18.7</v>
      </c>
      <c r="J1868" s="1795"/>
    </row>
    <row r="1869" spans="1:10">
      <c r="A1869" s="1929"/>
      <c r="B1869" s="1930"/>
      <c r="C1869" s="1930"/>
      <c r="D1869" s="1930"/>
      <c r="E1869" s="1930"/>
      <c r="F1869" s="1930"/>
      <c r="G1869" s="1930"/>
      <c r="H1869" s="1930"/>
      <c r="I1869" s="1931"/>
      <c r="J1869" s="1795"/>
    </row>
    <row r="1870" spans="1:10">
      <c r="A1870" s="1784">
        <f>'PLANILHA SEM DESON'!B284</f>
        <v>86884</v>
      </c>
      <c r="B1870" s="1940" t="str">
        <f>VLOOKUP(A1870,'PLANILHA SEM DESON'!$B$17:$D$1700,2,FALSE)</f>
        <v>ENGATE FLEXÍVEL EM PLÁSTICO BRANCO, 1/2" X 30CM - FORNECIMENTO E INSTALAÇÃO. AF_12/2013</v>
      </c>
      <c r="C1870" s="1941"/>
      <c r="D1870" s="1941"/>
      <c r="E1870" s="1941"/>
      <c r="F1870" s="1941"/>
      <c r="G1870" s="1941"/>
      <c r="H1870" s="1942"/>
      <c r="I1870" s="1785" t="str">
        <f>VLOOKUP(A1870,'PLANILHA SEM DESON'!$B$17:$D$1700,3,FALSE)</f>
        <v xml:space="preserve">un </v>
      </c>
      <c r="J1870" s="1786">
        <f>I1876</f>
        <v>12.27</v>
      </c>
    </row>
    <row r="1871" spans="1:10" ht="24">
      <c r="A1871" s="1788" t="s">
        <v>2470</v>
      </c>
      <c r="B1871" s="1789" t="s">
        <v>2471</v>
      </c>
      <c r="C1871" s="1790" t="s">
        <v>2468</v>
      </c>
      <c r="D1871" s="1791" t="s">
        <v>308</v>
      </c>
      <c r="E1871" s="1790" t="s">
        <v>202</v>
      </c>
      <c r="F1871" s="1792" t="s">
        <v>2472</v>
      </c>
      <c r="G1871" s="1790" t="s">
        <v>2473</v>
      </c>
      <c r="H1871" s="1793" t="s">
        <v>2474</v>
      </c>
      <c r="I1871" s="1794" t="s">
        <v>2475</v>
      </c>
      <c r="J1871" s="1795"/>
    </row>
    <row r="1872" spans="1:10">
      <c r="A1872" s="1797" t="s">
        <v>2476</v>
      </c>
      <c r="B1872" s="1798" t="s">
        <v>2479</v>
      </c>
      <c r="C1872" s="1798">
        <v>3146</v>
      </c>
      <c r="D1872" s="1799" t="s">
        <v>2748</v>
      </c>
      <c r="E1872" s="1800" t="s">
        <v>2501</v>
      </c>
      <c r="F1872" s="1807">
        <v>2.1000000000000001E-2</v>
      </c>
      <c r="G1872" s="1801">
        <v>4.88</v>
      </c>
      <c r="H1872" s="1802">
        <f>IF(E1872="H",G1872,TRUNC(G1872*(1-$K$7),2))</f>
        <v>4.8499999999999996</v>
      </c>
      <c r="I1872" s="1803">
        <f t="shared" ref="I1872:I1875" si="267">TRUNC(H1872*F1872,2)</f>
        <v>0.1</v>
      </c>
      <c r="J1872" s="1795"/>
    </row>
    <row r="1873" spans="1:10" ht="24">
      <c r="A1873" s="1797" t="s">
        <v>2476</v>
      </c>
      <c r="B1873" s="1798" t="s">
        <v>2479</v>
      </c>
      <c r="C1873" s="1798">
        <v>6141</v>
      </c>
      <c r="D1873" s="1799" t="s">
        <v>2749</v>
      </c>
      <c r="E1873" s="1800" t="s">
        <v>2501</v>
      </c>
      <c r="F1873" s="1807">
        <v>1</v>
      </c>
      <c r="G1873" s="1801">
        <v>7.53</v>
      </c>
      <c r="H1873" s="1802">
        <f>IF(E1873="H",G1873,TRUNC(G1873*(1-$K$7),2))</f>
        <v>7.49</v>
      </c>
      <c r="I1873" s="1803">
        <f t="shared" si="267"/>
        <v>7.49</v>
      </c>
      <c r="J1873" s="1795"/>
    </row>
    <row r="1874" spans="1:10" ht="24">
      <c r="A1874" s="1797" t="s">
        <v>2476</v>
      </c>
      <c r="B1874" s="1798" t="s">
        <v>7</v>
      </c>
      <c r="C1874" s="1798">
        <v>88267</v>
      </c>
      <c r="D1874" s="1799" t="s">
        <v>102</v>
      </c>
      <c r="E1874" s="1800" t="s">
        <v>411</v>
      </c>
      <c r="F1874" s="1807">
        <v>0.1525</v>
      </c>
      <c r="G1874" s="1801">
        <v>24.64</v>
      </c>
      <c r="H1874" s="1802">
        <f>IF(E1874="H",G1874,TRUNC(G1874*(1-$K$7),2))</f>
        <v>24.64</v>
      </c>
      <c r="I1874" s="1803">
        <f t="shared" si="267"/>
        <v>3.75</v>
      </c>
      <c r="J1874" s="1795"/>
    </row>
    <row r="1875" spans="1:10">
      <c r="A1875" s="1797" t="s">
        <v>2476</v>
      </c>
      <c r="B1875" s="1798" t="s">
        <v>7</v>
      </c>
      <c r="C1875" s="1798">
        <v>88316</v>
      </c>
      <c r="D1875" s="1799" t="s">
        <v>66</v>
      </c>
      <c r="E1875" s="1800" t="s">
        <v>411</v>
      </c>
      <c r="F1875" s="1807">
        <v>4.8099999999999997E-2</v>
      </c>
      <c r="G1875" s="1801">
        <v>19.45</v>
      </c>
      <c r="H1875" s="1802">
        <f>IF(E1875="H",G1875,TRUNC(G1875*(1-$K$7),2))</f>
        <v>19.45</v>
      </c>
      <c r="I1875" s="1803">
        <f t="shared" si="267"/>
        <v>0.93</v>
      </c>
      <c r="J1875" s="1795"/>
    </row>
    <row r="1876" spans="1:10">
      <c r="A1876" s="1943" t="s">
        <v>2477</v>
      </c>
      <c r="B1876" s="1944"/>
      <c r="C1876" s="1944"/>
      <c r="D1876" s="1944"/>
      <c r="E1876" s="1944"/>
      <c r="F1876" s="1944"/>
      <c r="G1876" s="1944"/>
      <c r="H1876" s="1945"/>
      <c r="I1876" s="1805">
        <f>SUM(I1872:I1875)</f>
        <v>12.27</v>
      </c>
      <c r="J1876" s="1795"/>
    </row>
    <row r="1877" spans="1:10">
      <c r="A1877" s="1929"/>
      <c r="B1877" s="1930"/>
      <c r="C1877" s="1930"/>
      <c r="D1877" s="1930"/>
      <c r="E1877" s="1930"/>
      <c r="F1877" s="1930"/>
      <c r="G1877" s="1930"/>
      <c r="H1877" s="1930"/>
      <c r="I1877" s="1931"/>
      <c r="J1877" s="1795"/>
    </row>
    <row r="1878" spans="1:10" ht="24.75" customHeight="1">
      <c r="A1878" s="1784" t="str">
        <f>'PLANILHA SEM DESON'!B285</f>
        <v>COMP HIDR  23</v>
      </c>
      <c r="B1878" s="1940" t="str">
        <f>VLOOKUP(A1878,'PLANILHA SEM DESON'!$B$17:$D$1700,2,FALSE)</f>
        <v>RESERVATÓRIO EM FIBRA DE VIDRO COM TAMPA - CAPACIDADE 2000 LITROS</v>
      </c>
      <c r="C1878" s="1941"/>
      <c r="D1878" s="1941"/>
      <c r="E1878" s="1941"/>
      <c r="F1878" s="1941"/>
      <c r="G1878" s="1941"/>
      <c r="H1878" s="1942"/>
      <c r="I1878" s="1785" t="str">
        <f>VLOOKUP(A1878,'PLANILHA SEM DESON'!$B$17:$D$1700,3,FALSE)</f>
        <v xml:space="preserve">un </v>
      </c>
      <c r="J1878" s="1786">
        <f>I1883</f>
        <v>1496.2199999999998</v>
      </c>
    </row>
    <row r="1879" spans="1:10" ht="24">
      <c r="A1879" s="1788" t="s">
        <v>2470</v>
      </c>
      <c r="B1879" s="1789" t="s">
        <v>2471</v>
      </c>
      <c r="C1879" s="1790" t="s">
        <v>2468</v>
      </c>
      <c r="D1879" s="1791" t="s">
        <v>308</v>
      </c>
      <c r="E1879" s="1790" t="s">
        <v>202</v>
      </c>
      <c r="F1879" s="1792" t="s">
        <v>2472</v>
      </c>
      <c r="G1879" s="1790" t="s">
        <v>2473</v>
      </c>
      <c r="H1879" s="1793" t="s">
        <v>2474</v>
      </c>
      <c r="I1879" s="1794" t="s">
        <v>2475</v>
      </c>
      <c r="J1879" s="1795"/>
    </row>
    <row r="1880" spans="1:10" ht="24">
      <c r="A1880" s="1797"/>
      <c r="B1880" s="1798"/>
      <c r="C1880" s="1798" t="s">
        <v>461</v>
      </c>
      <c r="D1880" s="1799" t="s">
        <v>101</v>
      </c>
      <c r="E1880" s="1800" t="s">
        <v>57</v>
      </c>
      <c r="F1880" s="1814">
        <v>1.5</v>
      </c>
      <c r="G1880" s="1808">
        <v>20.16</v>
      </c>
      <c r="H1880" s="1802">
        <f>IF(E1880="H",G1880,TRUNC(G1880*(1-$K$7),2))</f>
        <v>20.16</v>
      </c>
      <c r="I1880" s="1803">
        <f t="shared" ref="I1880:I1882" si="268">TRUNC(H1880*F1880,2)</f>
        <v>30.24</v>
      </c>
      <c r="J1880" s="1795"/>
    </row>
    <row r="1881" spans="1:10" ht="24">
      <c r="A1881" s="1797"/>
      <c r="B1881" s="1798"/>
      <c r="C1881" s="1798" t="s">
        <v>462</v>
      </c>
      <c r="D1881" s="1799" t="s">
        <v>102</v>
      </c>
      <c r="E1881" s="1800" t="s">
        <v>57</v>
      </c>
      <c r="F1881" s="1814">
        <v>1</v>
      </c>
      <c r="G1881" s="1808">
        <v>24.64</v>
      </c>
      <c r="H1881" s="1802">
        <f>IF(E1881="H",G1881,TRUNC(G1881*(1-$K$7),2))</f>
        <v>24.64</v>
      </c>
      <c r="I1881" s="1803">
        <f t="shared" si="268"/>
        <v>24.64</v>
      </c>
      <c r="J1881" s="1795"/>
    </row>
    <row r="1882" spans="1:10" ht="24">
      <c r="A1882" s="1797"/>
      <c r="B1882" s="1798"/>
      <c r="C1882" s="1798">
        <v>37104</v>
      </c>
      <c r="D1882" s="1799" t="s">
        <v>2448</v>
      </c>
      <c r="E1882" s="1800" t="s">
        <v>55</v>
      </c>
      <c r="F1882" s="1817">
        <v>1</v>
      </c>
      <c r="G1882" s="1806">
        <v>1448.73</v>
      </c>
      <c r="H1882" s="1802">
        <f>IF(E1882="H",G1882,TRUNC(G1882*(1-$K$7),2))</f>
        <v>1441.34</v>
      </c>
      <c r="I1882" s="1803">
        <f t="shared" si="268"/>
        <v>1441.34</v>
      </c>
      <c r="J1882" s="1795"/>
    </row>
    <row r="1883" spans="1:10">
      <c r="A1883" s="1943" t="s">
        <v>2477</v>
      </c>
      <c r="B1883" s="1944"/>
      <c r="C1883" s="1944"/>
      <c r="D1883" s="1944"/>
      <c r="E1883" s="1944"/>
      <c r="F1883" s="1944"/>
      <c r="G1883" s="1944"/>
      <c r="H1883" s="1945"/>
      <c r="I1883" s="1805">
        <f>SUM(I1880:I1882)</f>
        <v>1496.2199999999998</v>
      </c>
      <c r="J1883" s="1795"/>
    </row>
    <row r="1884" spans="1:10">
      <c r="A1884" s="1929"/>
      <c r="B1884" s="1930"/>
      <c r="C1884" s="1930"/>
      <c r="D1884" s="1930"/>
      <c r="E1884" s="1930"/>
      <c r="F1884" s="1930"/>
      <c r="G1884" s="1930"/>
      <c r="H1884" s="1930"/>
      <c r="I1884" s="1931"/>
      <c r="J1884" s="1795"/>
    </row>
    <row r="1885" spans="1:10" ht="24.75" customHeight="1">
      <c r="A1885" s="1784" t="str">
        <f>'PLANILHA SEM DESON'!B286</f>
        <v>COMP HIDR 10</v>
      </c>
      <c r="B1885" s="1940" t="str">
        <f>VLOOKUP(A1885,'PLANILHA SEM DESON'!$B$17:$D$1700,2,FALSE)</f>
        <v>CAIXA DE DESCARGA PLASTICA DE EMBUTIR COMPLETA, COM ESPELHO PLASTICO, BRANCA, CAPACIDADE 6 A 10 L,FORNECIMENTO E INSTALAÇÃO</v>
      </c>
      <c r="C1885" s="1941"/>
      <c r="D1885" s="1941"/>
      <c r="E1885" s="1941"/>
      <c r="F1885" s="1941"/>
      <c r="G1885" s="1941"/>
      <c r="H1885" s="1942"/>
      <c r="I1885" s="1785" t="str">
        <f>VLOOKUP(A1885,'PLANILHA SEM DESON'!$B$17:$D$1700,3,FALSE)</f>
        <v xml:space="preserve">un </v>
      </c>
      <c r="J1885" s="1786">
        <f>I1892</f>
        <v>1274.92</v>
      </c>
    </row>
    <row r="1886" spans="1:10" ht="24">
      <c r="A1886" s="1788" t="s">
        <v>2470</v>
      </c>
      <c r="B1886" s="1789" t="s">
        <v>2471</v>
      </c>
      <c r="C1886" s="1790" t="s">
        <v>2468</v>
      </c>
      <c r="D1886" s="1791" t="s">
        <v>308</v>
      </c>
      <c r="E1886" s="1790" t="s">
        <v>202</v>
      </c>
      <c r="F1886" s="1792" t="s">
        <v>2472</v>
      </c>
      <c r="G1886" s="1790" t="s">
        <v>2473</v>
      </c>
      <c r="H1886" s="1793" t="s">
        <v>2474</v>
      </c>
      <c r="I1886" s="1794" t="s">
        <v>2475</v>
      </c>
      <c r="J1886" s="1795"/>
    </row>
    <row r="1887" spans="1:10" ht="24">
      <c r="A1887" s="1797"/>
      <c r="B1887" s="1798"/>
      <c r="C1887" s="1798" t="s">
        <v>461</v>
      </c>
      <c r="D1887" s="1799" t="s">
        <v>101</v>
      </c>
      <c r="E1887" s="1800" t="s">
        <v>57</v>
      </c>
      <c r="F1887" s="1817">
        <v>0.5</v>
      </c>
      <c r="G1887" s="1808">
        <v>20.16</v>
      </c>
      <c r="H1887" s="1802">
        <f>IF(E1887="H",G1887,TRUNC(G1887*(1-$K$7),2))</f>
        <v>20.16</v>
      </c>
      <c r="I1887" s="1803">
        <f t="shared" ref="I1887:I1891" si="269">TRUNC(H1887*F1887,2)</f>
        <v>10.08</v>
      </c>
      <c r="J1887" s="1795"/>
    </row>
    <row r="1888" spans="1:10" ht="24">
      <c r="A1888" s="1797"/>
      <c r="B1888" s="1798"/>
      <c r="C1888" s="1798" t="s">
        <v>462</v>
      </c>
      <c r="D1888" s="1799" t="s">
        <v>102</v>
      </c>
      <c r="E1888" s="1800" t="s">
        <v>57</v>
      </c>
      <c r="F1888" s="1817">
        <v>0.5</v>
      </c>
      <c r="G1888" s="1808">
        <v>24.64</v>
      </c>
      <c r="H1888" s="1802">
        <f>IF(E1888="H",G1888,TRUNC(G1888*(1-$K$7),2))</f>
        <v>24.64</v>
      </c>
      <c r="I1888" s="1803">
        <f t="shared" si="269"/>
        <v>12.32</v>
      </c>
      <c r="J1888" s="1795"/>
    </row>
    <row r="1889" spans="1:10">
      <c r="A1889" s="1797"/>
      <c r="B1889" s="1798"/>
      <c r="C1889" s="1798">
        <v>88309</v>
      </c>
      <c r="D1889" s="1799" t="s">
        <v>103</v>
      </c>
      <c r="E1889" s="1800" t="s">
        <v>57</v>
      </c>
      <c r="F1889" s="1817">
        <v>1</v>
      </c>
      <c r="G1889" s="1806">
        <v>24.59</v>
      </c>
      <c r="H1889" s="1802">
        <f>IF(E1889="H",G1889,TRUNC(G1889*(1-$K$7),2))</f>
        <v>24.59</v>
      </c>
      <c r="I1889" s="1803">
        <f t="shared" si="269"/>
        <v>24.59</v>
      </c>
      <c r="J1889" s="1795"/>
    </row>
    <row r="1890" spans="1:10">
      <c r="A1890" s="1797"/>
      <c r="B1890" s="1798"/>
      <c r="C1890" s="1798">
        <v>88316</v>
      </c>
      <c r="D1890" s="1799" t="s">
        <v>66</v>
      </c>
      <c r="E1890" s="1800" t="s">
        <v>57</v>
      </c>
      <c r="F1890" s="1817">
        <v>1</v>
      </c>
      <c r="G1890" s="1806">
        <v>19.45</v>
      </c>
      <c r="H1890" s="1802">
        <f>IF(E1890="H",G1890,TRUNC(G1890*(1-$K$7),2))</f>
        <v>19.45</v>
      </c>
      <c r="I1890" s="1803">
        <f t="shared" si="269"/>
        <v>19.45</v>
      </c>
      <c r="J1890" s="1795"/>
    </row>
    <row r="1891" spans="1:10" ht="36">
      <c r="A1891" s="1797"/>
      <c r="B1891" s="1798"/>
      <c r="C1891" s="1798">
        <v>11694</v>
      </c>
      <c r="D1891" s="1799" t="s">
        <v>1798</v>
      </c>
      <c r="E1891" s="1800" t="s">
        <v>55</v>
      </c>
      <c r="F1891" s="1817">
        <v>1</v>
      </c>
      <c r="G1891" s="1806">
        <v>1214.68</v>
      </c>
      <c r="H1891" s="1802">
        <f>IF(E1891="H",G1891,TRUNC(G1891*(1-$K$7),2))</f>
        <v>1208.48</v>
      </c>
      <c r="I1891" s="1803">
        <f t="shared" si="269"/>
        <v>1208.48</v>
      </c>
      <c r="J1891" s="1795"/>
    </row>
    <row r="1892" spans="1:10">
      <c r="A1892" s="1943" t="s">
        <v>2477</v>
      </c>
      <c r="B1892" s="1944"/>
      <c r="C1892" s="1944"/>
      <c r="D1892" s="1944"/>
      <c r="E1892" s="1944"/>
      <c r="F1892" s="1944"/>
      <c r="G1892" s="1944"/>
      <c r="H1892" s="1945"/>
      <c r="I1892" s="1805">
        <f>SUM(I1887:I1891)</f>
        <v>1274.92</v>
      </c>
      <c r="J1892" s="1795"/>
    </row>
    <row r="1893" spans="1:10">
      <c r="A1893" s="1929"/>
      <c r="B1893" s="1930"/>
      <c r="C1893" s="1930"/>
      <c r="D1893" s="1930"/>
      <c r="E1893" s="1930"/>
      <c r="F1893" s="1930"/>
      <c r="G1893" s="1930"/>
      <c r="H1893" s="1930"/>
      <c r="I1893" s="1931"/>
      <c r="J1893" s="1795"/>
    </row>
    <row r="1894" spans="1:10" ht="25.5" customHeight="1">
      <c r="A1894" s="1784" t="str">
        <f>'PLANILHA SEM DESON'!B287</f>
        <v>COMP HIDR  11</v>
      </c>
      <c r="B1894" s="1940" t="str">
        <f>VLOOKUP(A1894,'PLANILHA SEM DESON'!$B$17:$D$1700,2,FALSE)</f>
        <v>TUBO DE LIGAÇÃO PVC P/ SAÍDA DE VASO SANITÁRIO, DN 38MM</v>
      </c>
      <c r="C1894" s="1941"/>
      <c r="D1894" s="1941"/>
      <c r="E1894" s="1941"/>
      <c r="F1894" s="1941"/>
      <c r="G1894" s="1941"/>
      <c r="H1894" s="1942"/>
      <c r="I1894" s="1785" t="str">
        <f>VLOOKUP(A1894,'PLANILHA SEM DESON'!$B$17:$D$1700,3,FALSE)</f>
        <v xml:space="preserve">un </v>
      </c>
      <c r="J1894" s="1786">
        <f>I1899</f>
        <v>28.240000000000002</v>
      </c>
    </row>
    <row r="1895" spans="1:10" ht="24">
      <c r="A1895" s="1788" t="s">
        <v>2470</v>
      </c>
      <c r="B1895" s="1789" t="s">
        <v>2471</v>
      </c>
      <c r="C1895" s="1790" t="s">
        <v>2468</v>
      </c>
      <c r="D1895" s="1791" t="s">
        <v>308</v>
      </c>
      <c r="E1895" s="1790" t="s">
        <v>202</v>
      </c>
      <c r="F1895" s="1792" t="s">
        <v>2472</v>
      </c>
      <c r="G1895" s="1790" t="s">
        <v>2473</v>
      </c>
      <c r="H1895" s="1793" t="s">
        <v>2474</v>
      </c>
      <c r="I1895" s="1794" t="s">
        <v>2475</v>
      </c>
      <c r="J1895" s="1795"/>
    </row>
    <row r="1896" spans="1:10" ht="24">
      <c r="A1896" s="1797"/>
      <c r="B1896" s="1798"/>
      <c r="C1896" s="1798" t="s">
        <v>461</v>
      </c>
      <c r="D1896" s="1799" t="s">
        <v>101</v>
      </c>
      <c r="E1896" s="1800" t="s">
        <v>57</v>
      </c>
      <c r="F1896" s="1817">
        <v>0.4</v>
      </c>
      <c r="G1896" s="1808">
        <v>20.16</v>
      </c>
      <c r="H1896" s="1802">
        <f>IF(E1896="H",G1896,TRUNC(G1896*(1-$K$7),2))</f>
        <v>20.16</v>
      </c>
      <c r="I1896" s="1803">
        <f t="shared" ref="I1896:I1898" si="270">TRUNC(H1896*F1896,2)</f>
        <v>8.06</v>
      </c>
      <c r="J1896" s="1795"/>
    </row>
    <row r="1897" spans="1:10" ht="24">
      <c r="A1897" s="1797"/>
      <c r="B1897" s="1798"/>
      <c r="C1897" s="1798" t="s">
        <v>462</v>
      </c>
      <c r="D1897" s="1799" t="s">
        <v>102</v>
      </c>
      <c r="E1897" s="1800" t="s">
        <v>57</v>
      </c>
      <c r="F1897" s="1817">
        <v>0.4</v>
      </c>
      <c r="G1897" s="1808">
        <v>24.64</v>
      </c>
      <c r="H1897" s="1802">
        <f>IF(E1897="H",G1897,TRUNC(G1897*(1-$K$7),2))</f>
        <v>24.64</v>
      </c>
      <c r="I1897" s="1803">
        <f t="shared" si="270"/>
        <v>9.85</v>
      </c>
      <c r="J1897" s="1795"/>
    </row>
    <row r="1898" spans="1:10" ht="36">
      <c r="A1898" s="1797"/>
      <c r="B1898" s="1798"/>
      <c r="C1898" s="1798">
        <v>6142</v>
      </c>
      <c r="D1898" s="1799" t="s">
        <v>1824</v>
      </c>
      <c r="E1898" s="1800" t="s">
        <v>55</v>
      </c>
      <c r="F1898" s="1817">
        <v>1</v>
      </c>
      <c r="G1898" s="1806">
        <v>10.39</v>
      </c>
      <c r="H1898" s="1802">
        <f>IF(E1898="H",G1898,TRUNC(G1898*(1-$K$7),2))</f>
        <v>10.33</v>
      </c>
      <c r="I1898" s="1803">
        <f t="shared" si="270"/>
        <v>10.33</v>
      </c>
      <c r="J1898" s="1795"/>
    </row>
    <row r="1899" spans="1:10">
      <c r="A1899" s="1943" t="s">
        <v>2477</v>
      </c>
      <c r="B1899" s="1944"/>
      <c r="C1899" s="1944"/>
      <c r="D1899" s="1944"/>
      <c r="E1899" s="1944"/>
      <c r="F1899" s="1944"/>
      <c r="G1899" s="1944"/>
      <c r="H1899" s="1945"/>
      <c r="I1899" s="1805">
        <f>SUM(I1896:I1898)</f>
        <v>28.240000000000002</v>
      </c>
      <c r="J1899" s="1795"/>
    </row>
    <row r="1900" spans="1:10">
      <c r="A1900" s="1929"/>
      <c r="B1900" s="1930"/>
      <c r="C1900" s="1930"/>
      <c r="D1900" s="1930"/>
      <c r="E1900" s="1930"/>
      <c r="F1900" s="1930"/>
      <c r="G1900" s="1930"/>
      <c r="H1900" s="1930"/>
      <c r="I1900" s="1931"/>
      <c r="J1900" s="1795"/>
    </row>
    <row r="1901" spans="1:10" ht="24" customHeight="1">
      <c r="A1901" s="1784">
        <f>'PLANILHA SEM DESON'!B288</f>
        <v>86931</v>
      </c>
      <c r="B1901" s="1940" t="str">
        <f>VLOOKUP(A1901,'PLANILHA SEM DESON'!$B$17:$D$1700,2,FALSE)</f>
        <v>VASO SANITÁRIO SIFONADO COM CAIXA ACOPLADA LOUÇA BRANCA, INCLUSO ENGATE FLEXÍVEL EM PLÁSTICO BRANCO, 1/2 X 40CM - FORNECIMENTO E INSTALAÇÃO. AF_01/2020</v>
      </c>
      <c r="C1901" s="1941"/>
      <c r="D1901" s="1941"/>
      <c r="E1901" s="1941"/>
      <c r="F1901" s="1941"/>
      <c r="G1901" s="1941"/>
      <c r="H1901" s="1942"/>
      <c r="I1901" s="1785" t="str">
        <f>VLOOKUP(A1901,'PLANILHA SEM DESON'!$B$17:$D$1700,3,FALSE)</f>
        <v xml:space="preserve">un </v>
      </c>
      <c r="J1901" s="1786">
        <f>I1905</f>
        <v>496.43</v>
      </c>
    </row>
    <row r="1902" spans="1:10" ht="24">
      <c r="A1902" s="1788" t="s">
        <v>2470</v>
      </c>
      <c r="B1902" s="1789" t="s">
        <v>2471</v>
      </c>
      <c r="C1902" s="1790" t="s">
        <v>2468</v>
      </c>
      <c r="D1902" s="1791" t="s">
        <v>308</v>
      </c>
      <c r="E1902" s="1790" t="s">
        <v>202</v>
      </c>
      <c r="F1902" s="1792" t="s">
        <v>2472</v>
      </c>
      <c r="G1902" s="1790" t="s">
        <v>2473</v>
      </c>
      <c r="H1902" s="1793" t="s">
        <v>2474</v>
      </c>
      <c r="I1902" s="1794" t="s">
        <v>2475</v>
      </c>
      <c r="J1902" s="1795"/>
    </row>
    <row r="1903" spans="1:10" ht="24">
      <c r="A1903" s="1797" t="s">
        <v>2476</v>
      </c>
      <c r="B1903" s="1798" t="s">
        <v>7</v>
      </c>
      <c r="C1903" s="1798">
        <v>86885</v>
      </c>
      <c r="D1903" s="1799" t="s">
        <v>2750</v>
      </c>
      <c r="E1903" s="1800" t="s">
        <v>2501</v>
      </c>
      <c r="F1903" s="1807">
        <v>1</v>
      </c>
      <c r="G1903" s="1801">
        <v>14.28</v>
      </c>
      <c r="H1903" s="1802">
        <f>IF(E1903="H",G1903,TRUNC(G1903*(1-$K$7),2))</f>
        <v>14.2</v>
      </c>
      <c r="I1903" s="1803">
        <f t="shared" ref="I1903:I1904" si="271">TRUNC(H1903*F1903,2)</f>
        <v>14.2</v>
      </c>
      <c r="J1903" s="1795"/>
    </row>
    <row r="1904" spans="1:10" ht="36">
      <c r="A1904" s="1797" t="s">
        <v>2476</v>
      </c>
      <c r="B1904" s="1798" t="s">
        <v>7</v>
      </c>
      <c r="C1904" s="1798">
        <v>86888</v>
      </c>
      <c r="D1904" s="1799" t="s">
        <v>2512</v>
      </c>
      <c r="E1904" s="1800" t="s">
        <v>2501</v>
      </c>
      <c r="F1904" s="1807">
        <v>1</v>
      </c>
      <c r="G1904" s="1801">
        <v>484.71</v>
      </c>
      <c r="H1904" s="1802">
        <f>IF(E1904="H",G1904,TRUNC(G1904*(1-$K$7),2))</f>
        <v>482.23</v>
      </c>
      <c r="I1904" s="1803">
        <f t="shared" si="271"/>
        <v>482.23</v>
      </c>
      <c r="J1904" s="1795"/>
    </row>
    <row r="1905" spans="1:10">
      <c r="A1905" s="1943" t="s">
        <v>2477</v>
      </c>
      <c r="B1905" s="1944"/>
      <c r="C1905" s="1944"/>
      <c r="D1905" s="1944"/>
      <c r="E1905" s="1944"/>
      <c r="F1905" s="1944"/>
      <c r="G1905" s="1944"/>
      <c r="H1905" s="1945"/>
      <c r="I1905" s="1805">
        <f>SUM(I1903:I1904)</f>
        <v>496.43</v>
      </c>
      <c r="J1905" s="1795"/>
    </row>
    <row r="1906" spans="1:10">
      <c r="A1906" s="1929"/>
      <c r="B1906" s="1930"/>
      <c r="C1906" s="1930"/>
      <c r="D1906" s="1930"/>
      <c r="E1906" s="1930"/>
      <c r="F1906" s="1930"/>
      <c r="G1906" s="1930"/>
      <c r="H1906" s="1930"/>
      <c r="I1906" s="1931"/>
      <c r="J1906" s="1795"/>
    </row>
    <row r="1907" spans="1:10" ht="38.25" customHeight="1">
      <c r="A1907" s="1784">
        <f>'PLANILHA SEM DESON'!B289</f>
        <v>95472</v>
      </c>
      <c r="B1907" s="1940" t="str">
        <f>VLOOKUP(A1907,'PLANILHA SEM DESON'!$B$17:$D$1700,2,FALSE)</f>
        <v>VASO SANITARIO SIFONADO CONVENCIONAL PARA PCD SEM FURO FRONTAL COM LOUÇA BRANCA SEM ASSENTO, INCLUSO CONJUNTO DE LIGAÇÃO PARA BACIA SANITÁRIA AJUSTÁVEL - FORNECIMENTO E INSTALAÇÃO. AF_01/2020</v>
      </c>
      <c r="C1907" s="1941"/>
      <c r="D1907" s="1941"/>
      <c r="E1907" s="1941"/>
      <c r="F1907" s="1941"/>
      <c r="G1907" s="1941"/>
      <c r="H1907" s="1942"/>
      <c r="I1907" s="1785" t="str">
        <f>VLOOKUP(A1907,'PLANILHA SEM DESON'!$B$17:$D$1700,3,FALSE)</f>
        <v xml:space="preserve">un </v>
      </c>
      <c r="J1907" s="1786">
        <f>I1911</f>
        <v>764.46</v>
      </c>
    </row>
    <row r="1908" spans="1:10" ht="24">
      <c r="A1908" s="1788" t="s">
        <v>2470</v>
      </c>
      <c r="B1908" s="1789" t="s">
        <v>2471</v>
      </c>
      <c r="C1908" s="1790" t="s">
        <v>2468</v>
      </c>
      <c r="D1908" s="1791" t="s">
        <v>308</v>
      </c>
      <c r="E1908" s="1790" t="s">
        <v>202</v>
      </c>
      <c r="F1908" s="1792" t="s">
        <v>2472</v>
      </c>
      <c r="G1908" s="1790" t="s">
        <v>2473</v>
      </c>
      <c r="H1908" s="1793" t="s">
        <v>2474</v>
      </c>
      <c r="I1908" s="1794" t="s">
        <v>2475</v>
      </c>
      <c r="J1908" s="1795"/>
    </row>
    <row r="1909" spans="1:10" ht="36">
      <c r="A1909" s="1797" t="s">
        <v>2476</v>
      </c>
      <c r="B1909" s="1798" t="s">
        <v>2479</v>
      </c>
      <c r="C1909" s="1798">
        <v>6142</v>
      </c>
      <c r="D1909" s="1799" t="s">
        <v>1824</v>
      </c>
      <c r="E1909" s="1800" t="s">
        <v>2501</v>
      </c>
      <c r="F1909" s="1807">
        <v>1</v>
      </c>
      <c r="G1909" s="1801">
        <v>10.39</v>
      </c>
      <c r="H1909" s="1802">
        <f>IF(E1909="H",G1909,TRUNC(G1909*(1-$K$7),2))</f>
        <v>10.33</v>
      </c>
      <c r="I1909" s="1803">
        <f t="shared" ref="I1909:I1910" si="272">TRUNC(H1909*F1909,2)</f>
        <v>10.33</v>
      </c>
      <c r="J1909" s="1795"/>
    </row>
    <row r="1910" spans="1:10" ht="36">
      <c r="A1910" s="1797" t="s">
        <v>2476</v>
      </c>
      <c r="B1910" s="1798" t="s">
        <v>7</v>
      </c>
      <c r="C1910" s="1798">
        <v>95471</v>
      </c>
      <c r="D1910" s="1799" t="s">
        <v>2751</v>
      </c>
      <c r="E1910" s="1800" t="s">
        <v>2501</v>
      </c>
      <c r="F1910" s="1807">
        <v>1</v>
      </c>
      <c r="G1910" s="1801">
        <v>758</v>
      </c>
      <c r="H1910" s="1802">
        <f>IF(E1910="H",G1910,TRUNC(G1910*(1-$K$7),2))</f>
        <v>754.13</v>
      </c>
      <c r="I1910" s="1803">
        <f t="shared" si="272"/>
        <v>754.13</v>
      </c>
      <c r="J1910" s="1795"/>
    </row>
    <row r="1911" spans="1:10">
      <c r="A1911" s="1943" t="s">
        <v>2477</v>
      </c>
      <c r="B1911" s="1944"/>
      <c r="C1911" s="1944"/>
      <c r="D1911" s="1944"/>
      <c r="E1911" s="1944"/>
      <c r="F1911" s="1944"/>
      <c r="G1911" s="1944"/>
      <c r="H1911" s="1945"/>
      <c r="I1911" s="1805">
        <f>SUM(I1909:I1910)</f>
        <v>764.46</v>
      </c>
      <c r="J1911" s="1795"/>
    </row>
    <row r="1912" spans="1:10">
      <c r="A1912" s="1929"/>
      <c r="B1912" s="1930"/>
      <c r="C1912" s="1930"/>
      <c r="D1912" s="1930"/>
      <c r="E1912" s="1930"/>
      <c r="F1912" s="1930"/>
      <c r="G1912" s="1930"/>
      <c r="H1912" s="1930"/>
      <c r="I1912" s="1931"/>
      <c r="J1912" s="1795"/>
    </row>
    <row r="1913" spans="1:10" ht="24" customHeight="1">
      <c r="A1913" s="1784" t="str">
        <f>'PLANILHA SEM DESON'!B292</f>
        <v>COMP HIDR  12</v>
      </c>
      <c r="B1913" s="1940" t="str">
        <f>VLOOKUP(A1913,'PLANILHA SEM DESON'!$B$17:$D$1700,2,FALSE)</f>
        <v>DUCHA HIGIENICA PLASTICA COM REGISTRO METALICO 1/2 "</v>
      </c>
      <c r="C1913" s="1941"/>
      <c r="D1913" s="1941"/>
      <c r="E1913" s="1941"/>
      <c r="F1913" s="1941"/>
      <c r="G1913" s="1941"/>
      <c r="H1913" s="1942"/>
      <c r="I1913" s="1785" t="str">
        <f>VLOOKUP(A1913,'PLANILHA SEM DESON'!$B$17:$D$1700,3,FALSE)</f>
        <v xml:space="preserve">un </v>
      </c>
      <c r="J1913" s="1786">
        <f>I1919</f>
        <v>143.08000000000001</v>
      </c>
    </row>
    <row r="1914" spans="1:10" ht="24">
      <c r="A1914" s="1788" t="s">
        <v>2470</v>
      </c>
      <c r="B1914" s="1789" t="s">
        <v>2471</v>
      </c>
      <c r="C1914" s="1790" t="s">
        <v>2468</v>
      </c>
      <c r="D1914" s="1791" t="s">
        <v>308</v>
      </c>
      <c r="E1914" s="1790" t="s">
        <v>202</v>
      </c>
      <c r="F1914" s="1792" t="s">
        <v>2472</v>
      </c>
      <c r="G1914" s="1790" t="s">
        <v>2473</v>
      </c>
      <c r="H1914" s="1793" t="s">
        <v>2474</v>
      </c>
      <c r="I1914" s="1794" t="s">
        <v>2475</v>
      </c>
      <c r="J1914" s="1795"/>
    </row>
    <row r="1915" spans="1:10" ht="24">
      <c r="A1915" s="1797"/>
      <c r="B1915" s="1798"/>
      <c r="C1915" s="1798" t="s">
        <v>461</v>
      </c>
      <c r="D1915" s="1799" t="s">
        <v>101</v>
      </c>
      <c r="E1915" s="1800" t="s">
        <v>57</v>
      </c>
      <c r="F1915" s="1817">
        <v>0.5</v>
      </c>
      <c r="G1915" s="1808">
        <v>20.16</v>
      </c>
      <c r="H1915" s="1802">
        <f>IF(E1915="H",G1915,TRUNC(G1915*(1-$K$7),2))</f>
        <v>20.16</v>
      </c>
      <c r="I1915" s="1803">
        <f t="shared" ref="I1915:I1918" si="273">TRUNC(H1915*F1915,2)</f>
        <v>10.08</v>
      </c>
      <c r="J1915" s="1795"/>
    </row>
    <row r="1916" spans="1:10" ht="24">
      <c r="A1916" s="1797"/>
      <c r="B1916" s="1798"/>
      <c r="C1916" s="1798" t="s">
        <v>462</v>
      </c>
      <c r="D1916" s="1799" t="s">
        <v>102</v>
      </c>
      <c r="E1916" s="1800" t="s">
        <v>57</v>
      </c>
      <c r="F1916" s="1817">
        <v>0.5</v>
      </c>
      <c r="G1916" s="1808">
        <v>24.64</v>
      </c>
      <c r="H1916" s="1802">
        <f>IF(E1916="H",G1916,TRUNC(G1916*(1-$K$7),2))</f>
        <v>24.64</v>
      </c>
      <c r="I1916" s="1803">
        <f t="shared" si="273"/>
        <v>12.32</v>
      </c>
      <c r="J1916" s="1795"/>
    </row>
    <row r="1917" spans="1:10" ht="24">
      <c r="A1917" s="1797"/>
      <c r="B1917" s="1798"/>
      <c r="C1917" s="1798">
        <v>1370</v>
      </c>
      <c r="D1917" s="1799" t="s">
        <v>1819</v>
      </c>
      <c r="E1917" s="1800" t="s">
        <v>55</v>
      </c>
      <c r="F1917" s="1817">
        <v>1</v>
      </c>
      <c r="G1917" s="1806">
        <v>118.7</v>
      </c>
      <c r="H1917" s="1802">
        <f>IF(E1917="H",G1917,TRUNC(G1917*(1-$K$7),2))</f>
        <v>118.09</v>
      </c>
      <c r="I1917" s="1803">
        <f t="shared" si="273"/>
        <v>118.09</v>
      </c>
      <c r="J1917" s="1795"/>
    </row>
    <row r="1918" spans="1:10" ht="24">
      <c r="A1918" s="1797"/>
      <c r="B1918" s="1798"/>
      <c r="C1918" s="1798">
        <v>37459</v>
      </c>
      <c r="D1918" s="1799" t="s">
        <v>1820</v>
      </c>
      <c r="E1918" s="1800" t="s">
        <v>54</v>
      </c>
      <c r="F1918" s="1814">
        <v>0.28000000000000003</v>
      </c>
      <c r="G1918" s="1806">
        <v>9.32</v>
      </c>
      <c r="H1918" s="1802">
        <f>IF(E1918="H",G1918,TRUNC(G1918*(1-$K$7),2))</f>
        <v>9.27</v>
      </c>
      <c r="I1918" s="1803">
        <f t="shared" si="273"/>
        <v>2.59</v>
      </c>
      <c r="J1918" s="1795"/>
    </row>
    <row r="1919" spans="1:10">
      <c r="A1919" s="1943" t="s">
        <v>2477</v>
      </c>
      <c r="B1919" s="1944"/>
      <c r="C1919" s="1944"/>
      <c r="D1919" s="1944"/>
      <c r="E1919" s="1944"/>
      <c r="F1919" s="1944"/>
      <c r="G1919" s="1944"/>
      <c r="H1919" s="1945"/>
      <c r="I1919" s="1805">
        <f>SUM(I1915:I1918)</f>
        <v>143.08000000000001</v>
      </c>
      <c r="J1919" s="1795"/>
    </row>
    <row r="1920" spans="1:10">
      <c r="A1920" s="1929"/>
      <c r="B1920" s="1930"/>
      <c r="C1920" s="1930"/>
      <c r="D1920" s="1930"/>
      <c r="E1920" s="1930"/>
      <c r="F1920" s="1930"/>
      <c r="G1920" s="1930"/>
      <c r="H1920" s="1930"/>
      <c r="I1920" s="1931"/>
      <c r="J1920" s="1795"/>
    </row>
    <row r="1921" spans="1:10" ht="47.25" customHeight="1">
      <c r="A1921" s="1784">
        <f>'PLANILHA SEM DESON'!B293</f>
        <v>86943</v>
      </c>
      <c r="B1921" s="1940" t="str">
        <f>VLOOKUP(A1921,'PLANILHA SEM DESON'!$B$17:$D$1700,2,FALSE)</f>
        <v>LAVATÓRIO LOUÇA BRANCA SUSPENSO, 29,5 X 39CM OU EQUIVALENTE, PADRÃO POPULAR, INCLUSO SIFÃO FLEXÍVEL EM PVC, VÁLVULA E ENGATE FLEXÍVEL 30CM EM PLÁSTICO E TORNEIRA CROMADA DE MESA, PADRÃO POPULAR - FORNECIMENTO E INSTALAÇÃO. AF_01/2020</v>
      </c>
      <c r="C1921" s="1941"/>
      <c r="D1921" s="1941"/>
      <c r="E1921" s="1941"/>
      <c r="F1921" s="1941"/>
      <c r="G1921" s="1941"/>
      <c r="H1921" s="1942"/>
      <c r="I1921" s="1785" t="str">
        <f>VLOOKUP(A1921,'PLANILHA SEM DESON'!$B$17:$D$1700,3,FALSE)</f>
        <v xml:space="preserve">un </v>
      </c>
      <c r="J1921" s="1786">
        <f>I1928</f>
        <v>260.82</v>
      </c>
    </row>
    <row r="1922" spans="1:10" ht="24">
      <c r="A1922" s="1788" t="s">
        <v>2470</v>
      </c>
      <c r="B1922" s="1789" t="s">
        <v>2471</v>
      </c>
      <c r="C1922" s="1790" t="s">
        <v>2468</v>
      </c>
      <c r="D1922" s="1791" t="s">
        <v>308</v>
      </c>
      <c r="E1922" s="1790" t="s">
        <v>202</v>
      </c>
      <c r="F1922" s="1792" t="s">
        <v>2472</v>
      </c>
      <c r="G1922" s="1790" t="s">
        <v>2473</v>
      </c>
      <c r="H1922" s="1793" t="s">
        <v>2474</v>
      </c>
      <c r="I1922" s="1794" t="s">
        <v>2475</v>
      </c>
      <c r="J1922" s="1795"/>
    </row>
    <row r="1923" spans="1:10" ht="36">
      <c r="A1923" s="1797" t="s">
        <v>2476</v>
      </c>
      <c r="B1923" s="1798" t="s">
        <v>7</v>
      </c>
      <c r="C1923" s="1798">
        <v>86879</v>
      </c>
      <c r="D1923" s="1799" t="s">
        <v>2752</v>
      </c>
      <c r="E1923" s="1800" t="s">
        <v>2501</v>
      </c>
      <c r="F1923" s="1807">
        <v>1</v>
      </c>
      <c r="G1923" s="1801">
        <v>11.26</v>
      </c>
      <c r="H1923" s="1802">
        <f>IF(E1923="H",G1923,TRUNC(G1923*(1-$K$7),2))</f>
        <v>11.2</v>
      </c>
      <c r="I1923" s="1803">
        <f t="shared" ref="I1923:I1927" si="274">TRUNC(H1923*F1923,2)</f>
        <v>11.2</v>
      </c>
      <c r="J1923" s="1795"/>
    </row>
    <row r="1924" spans="1:10" ht="24">
      <c r="A1924" s="1797" t="s">
        <v>2476</v>
      </c>
      <c r="B1924" s="1798" t="s">
        <v>7</v>
      </c>
      <c r="C1924" s="1798">
        <v>86883</v>
      </c>
      <c r="D1924" s="1799" t="s">
        <v>2753</v>
      </c>
      <c r="E1924" s="1800" t="s">
        <v>2501</v>
      </c>
      <c r="F1924" s="1807">
        <v>1</v>
      </c>
      <c r="G1924" s="1801">
        <v>15.2</v>
      </c>
      <c r="H1924" s="1802">
        <f>IF(E1924="H",G1924,TRUNC(G1924*(1-$K$7),2))</f>
        <v>15.12</v>
      </c>
      <c r="I1924" s="1803">
        <f t="shared" si="274"/>
        <v>15.12</v>
      </c>
      <c r="J1924" s="1795"/>
    </row>
    <row r="1925" spans="1:10" ht="24">
      <c r="A1925" s="1797" t="s">
        <v>2476</v>
      </c>
      <c r="B1925" s="1798" t="s">
        <v>7</v>
      </c>
      <c r="C1925" s="1798">
        <v>86884</v>
      </c>
      <c r="D1925" s="1799" t="s">
        <v>2754</v>
      </c>
      <c r="E1925" s="1800" t="s">
        <v>2501</v>
      </c>
      <c r="F1925" s="1807">
        <v>1</v>
      </c>
      <c r="G1925" s="1801">
        <v>12.31</v>
      </c>
      <c r="H1925" s="1802">
        <f>IF(E1925="H",G1925,TRUNC(G1925*(1-$K$7),2))</f>
        <v>12.24</v>
      </c>
      <c r="I1925" s="1803">
        <f t="shared" si="274"/>
        <v>12.24</v>
      </c>
      <c r="J1925" s="1795"/>
    </row>
    <row r="1926" spans="1:10" ht="36">
      <c r="A1926" s="1797" t="s">
        <v>2476</v>
      </c>
      <c r="B1926" s="1798" t="s">
        <v>7</v>
      </c>
      <c r="C1926" s="1798">
        <v>86904</v>
      </c>
      <c r="D1926" s="1799" t="s">
        <v>2755</v>
      </c>
      <c r="E1926" s="1800" t="s">
        <v>2501</v>
      </c>
      <c r="F1926" s="1807">
        <v>1</v>
      </c>
      <c r="G1926" s="1801">
        <v>146.87</v>
      </c>
      <c r="H1926" s="1802">
        <f>IF(E1926="H",G1926,TRUNC(G1926*(1-$K$7),2))</f>
        <v>146.12</v>
      </c>
      <c r="I1926" s="1803">
        <f t="shared" si="274"/>
        <v>146.12</v>
      </c>
      <c r="J1926" s="1795"/>
    </row>
    <row r="1927" spans="1:10" ht="36">
      <c r="A1927" s="1797" t="s">
        <v>2476</v>
      </c>
      <c r="B1927" s="1798" t="s">
        <v>7</v>
      </c>
      <c r="C1927" s="1798">
        <v>86906</v>
      </c>
      <c r="D1927" s="1799" t="s">
        <v>2756</v>
      </c>
      <c r="E1927" s="1800" t="s">
        <v>2501</v>
      </c>
      <c r="F1927" s="1807">
        <v>1</v>
      </c>
      <c r="G1927" s="1801">
        <v>76.540000000000006</v>
      </c>
      <c r="H1927" s="1802">
        <f>IF(E1927="H",G1927,TRUNC(G1927*(1-$K$7),2))</f>
        <v>76.14</v>
      </c>
      <c r="I1927" s="1803">
        <f t="shared" si="274"/>
        <v>76.14</v>
      </c>
      <c r="J1927" s="1795"/>
    </row>
    <row r="1928" spans="1:10">
      <c r="A1928" s="1943" t="s">
        <v>2477</v>
      </c>
      <c r="B1928" s="1944"/>
      <c r="C1928" s="1944"/>
      <c r="D1928" s="1944"/>
      <c r="E1928" s="1944"/>
      <c r="F1928" s="1944"/>
      <c r="G1928" s="1944"/>
      <c r="H1928" s="1945"/>
      <c r="I1928" s="1805">
        <f>SUM(I1923:I1927)</f>
        <v>260.82</v>
      </c>
      <c r="J1928" s="1795"/>
    </row>
    <row r="1929" spans="1:10">
      <c r="A1929" s="1929"/>
      <c r="B1929" s="1930"/>
      <c r="C1929" s="1930"/>
      <c r="D1929" s="1930"/>
      <c r="E1929" s="1930"/>
      <c r="F1929" s="1930"/>
      <c r="G1929" s="1930"/>
      <c r="H1929" s="1930"/>
      <c r="I1929" s="1931"/>
      <c r="J1929" s="1795"/>
    </row>
    <row r="1930" spans="1:10" ht="24" customHeight="1">
      <c r="A1930" s="1784">
        <f>'PLANILHA SEM DESON'!B294</f>
        <v>86903</v>
      </c>
      <c r="B1930" s="1940" t="str">
        <f>VLOOKUP(A1930,'PLANILHA SEM DESON'!$B$17:$D$1700,2,FALSE)</f>
        <v>LAVATÓRIO LOUÇA BRANCA COM COLUNA, 45 X 55CM OU EQUIVALENTE, PADRÃO MÉDIO - FORNECIMENTO E INSTALAÇÃO. AF_01/2020</v>
      </c>
      <c r="C1930" s="1941"/>
      <c r="D1930" s="1941"/>
      <c r="E1930" s="1941"/>
      <c r="F1930" s="1941"/>
      <c r="G1930" s="1941"/>
      <c r="H1930" s="1942"/>
      <c r="I1930" s="1785" t="str">
        <f>VLOOKUP(A1930,'PLANILHA SEM DESON'!$B$17:$D$1700,3,FALSE)</f>
        <v xml:space="preserve">un </v>
      </c>
      <c r="J1930" s="1786">
        <f>I1937</f>
        <v>352.21</v>
      </c>
    </row>
    <row r="1931" spans="1:10" ht="24">
      <c r="A1931" s="1788" t="s">
        <v>2470</v>
      </c>
      <c r="B1931" s="1789" t="s">
        <v>2471</v>
      </c>
      <c r="C1931" s="1790" t="s">
        <v>2468</v>
      </c>
      <c r="D1931" s="1791" t="s">
        <v>308</v>
      </c>
      <c r="E1931" s="1790" t="s">
        <v>202</v>
      </c>
      <c r="F1931" s="1792" t="s">
        <v>2472</v>
      </c>
      <c r="G1931" s="1790" t="s">
        <v>2473</v>
      </c>
      <c r="H1931" s="1793" t="s">
        <v>2474</v>
      </c>
      <c r="I1931" s="1794" t="s">
        <v>2475</v>
      </c>
      <c r="J1931" s="1795"/>
    </row>
    <row r="1932" spans="1:10" ht="36">
      <c r="A1932" s="1797" t="s">
        <v>2476</v>
      </c>
      <c r="B1932" s="1798" t="s">
        <v>2479</v>
      </c>
      <c r="C1932" s="1798">
        <v>4351</v>
      </c>
      <c r="D1932" s="1799" t="s">
        <v>438</v>
      </c>
      <c r="E1932" s="1800" t="s">
        <v>2501</v>
      </c>
      <c r="F1932" s="1807">
        <v>6</v>
      </c>
      <c r="G1932" s="1801">
        <v>18.559999999999999</v>
      </c>
      <c r="H1932" s="1802">
        <f>IF(E1932="H",G1932,TRUNC(G1932*(1-$K$7),2))</f>
        <v>18.46</v>
      </c>
      <c r="I1932" s="1803">
        <f t="shared" ref="I1932:I1936" si="275">TRUNC(H1932*F1932,2)</f>
        <v>110.76</v>
      </c>
      <c r="J1932" s="1795"/>
    </row>
    <row r="1933" spans="1:10" ht="24">
      <c r="A1933" s="1797" t="s">
        <v>2476</v>
      </c>
      <c r="B1933" s="1798" t="s">
        <v>2479</v>
      </c>
      <c r="C1933" s="1798">
        <v>10426</v>
      </c>
      <c r="D1933" s="1799" t="s">
        <v>2757</v>
      </c>
      <c r="E1933" s="1800" t="s">
        <v>2501</v>
      </c>
      <c r="F1933" s="1807">
        <v>1</v>
      </c>
      <c r="G1933" s="1801">
        <v>182.94</v>
      </c>
      <c r="H1933" s="1802">
        <f>IF(E1933="H",G1933,TRUNC(G1933*(1-$K$7),2))</f>
        <v>182</v>
      </c>
      <c r="I1933" s="1803">
        <f t="shared" si="275"/>
        <v>182</v>
      </c>
      <c r="J1933" s="1795"/>
    </row>
    <row r="1934" spans="1:10">
      <c r="A1934" s="1797" t="s">
        <v>2476</v>
      </c>
      <c r="B1934" s="1798" t="s">
        <v>2479</v>
      </c>
      <c r="C1934" s="1798">
        <v>37329</v>
      </c>
      <c r="D1934" s="1799" t="s">
        <v>2758</v>
      </c>
      <c r="E1934" s="1800" t="s">
        <v>1184</v>
      </c>
      <c r="F1934" s="1807">
        <v>8.6599999999999996E-2</v>
      </c>
      <c r="G1934" s="1801">
        <v>123.67</v>
      </c>
      <c r="H1934" s="1802">
        <f>IF(E1934="H",G1934,TRUNC(G1934*(1-$K$7),2))</f>
        <v>123.03</v>
      </c>
      <c r="I1934" s="1803">
        <f t="shared" si="275"/>
        <v>10.65</v>
      </c>
      <c r="J1934" s="1795"/>
    </row>
    <row r="1935" spans="1:10" ht="24">
      <c r="A1935" s="1797" t="s">
        <v>2476</v>
      </c>
      <c r="B1935" s="1798" t="s">
        <v>7</v>
      </c>
      <c r="C1935" s="1798">
        <v>88267</v>
      </c>
      <c r="D1935" s="1799" t="s">
        <v>102</v>
      </c>
      <c r="E1935" s="1800" t="s">
        <v>411</v>
      </c>
      <c r="F1935" s="1807">
        <v>1.4666999999999999</v>
      </c>
      <c r="G1935" s="1801">
        <v>24.64</v>
      </c>
      <c r="H1935" s="1802">
        <f>IF(E1935="H",G1935,TRUNC(G1935*(1-$K$7),2))</f>
        <v>24.64</v>
      </c>
      <c r="I1935" s="1803">
        <f t="shared" si="275"/>
        <v>36.130000000000003</v>
      </c>
      <c r="J1935" s="1795"/>
    </row>
    <row r="1936" spans="1:10">
      <c r="A1936" s="1797" t="s">
        <v>2476</v>
      </c>
      <c r="B1936" s="1798" t="s">
        <v>7</v>
      </c>
      <c r="C1936" s="1798">
        <v>88316</v>
      </c>
      <c r="D1936" s="1799" t="s">
        <v>66</v>
      </c>
      <c r="E1936" s="1800" t="s">
        <v>411</v>
      </c>
      <c r="F1936" s="1807">
        <v>0.65169999999999995</v>
      </c>
      <c r="G1936" s="1801">
        <v>19.45</v>
      </c>
      <c r="H1936" s="1802">
        <f>IF(E1936="H",G1936,TRUNC(G1936*(1-$K$7),2))</f>
        <v>19.45</v>
      </c>
      <c r="I1936" s="1803">
        <f t="shared" si="275"/>
        <v>12.67</v>
      </c>
      <c r="J1936" s="1795"/>
    </row>
    <row r="1937" spans="1:10">
      <c r="A1937" s="1943" t="s">
        <v>2477</v>
      </c>
      <c r="B1937" s="1944"/>
      <c r="C1937" s="1944"/>
      <c r="D1937" s="1944"/>
      <c r="E1937" s="1944"/>
      <c r="F1937" s="1944"/>
      <c r="G1937" s="1944"/>
      <c r="H1937" s="1945"/>
      <c r="I1937" s="1805">
        <f>SUM(I1932:I1936)</f>
        <v>352.21</v>
      </c>
      <c r="J1937" s="1795"/>
    </row>
    <row r="1938" spans="1:10">
      <c r="A1938" s="1929"/>
      <c r="B1938" s="1930"/>
      <c r="C1938" s="1930"/>
      <c r="D1938" s="1930"/>
      <c r="E1938" s="1930"/>
      <c r="F1938" s="1930"/>
      <c r="G1938" s="1930"/>
      <c r="H1938" s="1930"/>
      <c r="I1938" s="1931"/>
      <c r="J1938" s="1795"/>
    </row>
    <row r="1939" spans="1:10" ht="21" customHeight="1">
      <c r="A1939" s="1784">
        <f>'PLANILHA SEM DESON'!B295</f>
        <v>86901</v>
      </c>
      <c r="B1939" s="1940" t="str">
        <f>VLOOKUP(A1939,'PLANILHA SEM DESON'!$B$17:$D$1700,2,FALSE)</f>
        <v>CUBA DE EMBUTIR OVAL EM LOUÇA BRANCA, 35 X 50CM OU EQUIVALENTE - FORNECIMENTO E INSTALAÇÃO. AF_01/2020</v>
      </c>
      <c r="C1939" s="1941"/>
      <c r="D1939" s="1941"/>
      <c r="E1939" s="1941"/>
      <c r="F1939" s="1941"/>
      <c r="G1939" s="1941"/>
      <c r="H1939" s="1942"/>
      <c r="I1939" s="1785" t="str">
        <f>VLOOKUP(A1939,'PLANILHA SEM DESON'!$B$17:$D$1700,3,FALSE)</f>
        <v xml:space="preserve">un </v>
      </c>
      <c r="J1939" s="1786">
        <f>I1945</f>
        <v>153.94000000000003</v>
      </c>
    </row>
    <row r="1940" spans="1:10" ht="24">
      <c r="A1940" s="1788" t="s">
        <v>2470</v>
      </c>
      <c r="B1940" s="1789" t="s">
        <v>2471</v>
      </c>
      <c r="C1940" s="1790" t="s">
        <v>2468</v>
      </c>
      <c r="D1940" s="1791" t="s">
        <v>308</v>
      </c>
      <c r="E1940" s="1790" t="s">
        <v>202</v>
      </c>
      <c r="F1940" s="1792" t="s">
        <v>2472</v>
      </c>
      <c r="G1940" s="1790" t="s">
        <v>2473</v>
      </c>
      <c r="H1940" s="1793" t="s">
        <v>2474</v>
      </c>
      <c r="I1940" s="1794" t="s">
        <v>2475</v>
      </c>
      <c r="J1940" s="1795"/>
    </row>
    <row r="1941" spans="1:10">
      <c r="A1941" s="1797" t="s">
        <v>2476</v>
      </c>
      <c r="B1941" s="1798" t="s">
        <v>2479</v>
      </c>
      <c r="C1941" s="1798">
        <v>4823</v>
      </c>
      <c r="D1941" s="1799" t="s">
        <v>2759</v>
      </c>
      <c r="E1941" s="1800" t="s">
        <v>1184</v>
      </c>
      <c r="F1941" s="1807">
        <v>0.52710000000000001</v>
      </c>
      <c r="G1941" s="1801">
        <v>61.24</v>
      </c>
      <c r="H1941" s="1802">
        <f>IF(E1941="H",G1941,TRUNC(G1941*(1-$K$7),2))</f>
        <v>60.92</v>
      </c>
      <c r="I1941" s="1803">
        <f t="shared" ref="I1941:I1944" si="276">TRUNC(H1941*F1941,2)</f>
        <v>32.11</v>
      </c>
      <c r="J1941" s="1795"/>
    </row>
    <row r="1942" spans="1:10" ht="24">
      <c r="A1942" s="1797" t="s">
        <v>2476</v>
      </c>
      <c r="B1942" s="1798" t="s">
        <v>2479</v>
      </c>
      <c r="C1942" s="1798">
        <v>20269</v>
      </c>
      <c r="D1942" s="1799" t="s">
        <v>2760</v>
      </c>
      <c r="E1942" s="1800" t="s">
        <v>2501</v>
      </c>
      <c r="F1942" s="1807">
        <v>1</v>
      </c>
      <c r="G1942" s="1801">
        <v>96.44</v>
      </c>
      <c r="H1942" s="1802">
        <f>IF(E1942="H",G1942,TRUNC(G1942*(1-$K$7),2))</f>
        <v>95.94</v>
      </c>
      <c r="I1942" s="1803">
        <f t="shared" si="276"/>
        <v>95.94</v>
      </c>
      <c r="J1942" s="1795"/>
    </row>
    <row r="1943" spans="1:10" ht="24">
      <c r="A1943" s="1797" t="s">
        <v>2476</v>
      </c>
      <c r="B1943" s="1798" t="s">
        <v>7</v>
      </c>
      <c r="C1943" s="1798">
        <v>88274</v>
      </c>
      <c r="D1943" s="1799" t="s">
        <v>2672</v>
      </c>
      <c r="E1943" s="1800" t="s">
        <v>411</v>
      </c>
      <c r="F1943" s="1807">
        <v>0.8458</v>
      </c>
      <c r="G1943" s="1801">
        <v>24.49</v>
      </c>
      <c r="H1943" s="1802">
        <f>IF(E1943="H",G1943,TRUNC(G1943*(1-$K$7),2))</f>
        <v>24.49</v>
      </c>
      <c r="I1943" s="1803">
        <f t="shared" si="276"/>
        <v>20.71</v>
      </c>
      <c r="J1943" s="1795"/>
    </row>
    <row r="1944" spans="1:10">
      <c r="A1944" s="1797" t="s">
        <v>2476</v>
      </c>
      <c r="B1944" s="1798" t="s">
        <v>7</v>
      </c>
      <c r="C1944" s="1798">
        <v>88316</v>
      </c>
      <c r="D1944" s="1799" t="s">
        <v>66</v>
      </c>
      <c r="E1944" s="1800" t="s">
        <v>411</v>
      </c>
      <c r="F1944" s="1807">
        <v>0.26650000000000001</v>
      </c>
      <c r="G1944" s="1801">
        <v>19.45</v>
      </c>
      <c r="H1944" s="1802">
        <f>IF(E1944="H",G1944,TRUNC(G1944*(1-$K$7),2))</f>
        <v>19.45</v>
      </c>
      <c r="I1944" s="1803">
        <f t="shared" si="276"/>
        <v>5.18</v>
      </c>
      <c r="J1944" s="1795"/>
    </row>
    <row r="1945" spans="1:10">
      <c r="A1945" s="1943" t="s">
        <v>2477</v>
      </c>
      <c r="B1945" s="1944"/>
      <c r="C1945" s="1944"/>
      <c r="D1945" s="1944"/>
      <c r="E1945" s="1944"/>
      <c r="F1945" s="1944"/>
      <c r="G1945" s="1944"/>
      <c r="H1945" s="1945"/>
      <c r="I1945" s="1805">
        <f>SUM(I1941:I1944)</f>
        <v>153.94000000000003</v>
      </c>
      <c r="J1945" s="1795"/>
    </row>
    <row r="1946" spans="1:10">
      <c r="A1946" s="1929"/>
      <c r="B1946" s="1930"/>
      <c r="C1946" s="1930"/>
      <c r="D1946" s="1930"/>
      <c r="E1946" s="1930"/>
      <c r="F1946" s="1930"/>
      <c r="G1946" s="1930"/>
      <c r="H1946" s="1930"/>
      <c r="I1946" s="1931"/>
      <c r="J1946" s="1795"/>
    </row>
    <row r="1947" spans="1:10" ht="30" customHeight="1">
      <c r="A1947" s="1784">
        <f>'PLANILHA SEM DESON'!B296</f>
        <v>86900</v>
      </c>
      <c r="B1947" s="1940" t="str">
        <f>VLOOKUP(A1947,'PLANILHA SEM DESON'!$B$17:$D$1700,2,FALSE)</f>
        <v>CUBA DE EMBUTIR RETANGULAR DE AÇO INOXIDÁVEL, 46 X 30 X 12 CM - FORNECIMENTO E INSTALAÇÃO. AF_01/2020</v>
      </c>
      <c r="C1947" s="1941"/>
      <c r="D1947" s="1941"/>
      <c r="E1947" s="1941"/>
      <c r="F1947" s="1941"/>
      <c r="G1947" s="1941"/>
      <c r="H1947" s="1942"/>
      <c r="I1947" s="1785" t="str">
        <f>VLOOKUP(A1947,'PLANILHA SEM DESON'!$B$17:$D$1700,3,FALSE)</f>
        <v xml:space="preserve">un </v>
      </c>
      <c r="J1947" s="1786">
        <f>I1953</f>
        <v>261.35000000000002</v>
      </c>
    </row>
    <row r="1948" spans="1:10" ht="24">
      <c r="A1948" s="1788" t="s">
        <v>2470</v>
      </c>
      <c r="B1948" s="1789" t="s">
        <v>2471</v>
      </c>
      <c r="C1948" s="1790" t="s">
        <v>2468</v>
      </c>
      <c r="D1948" s="1791" t="s">
        <v>308</v>
      </c>
      <c r="E1948" s="1790" t="s">
        <v>202</v>
      </c>
      <c r="F1948" s="1792" t="s">
        <v>2472</v>
      </c>
      <c r="G1948" s="1790" t="s">
        <v>2473</v>
      </c>
      <c r="H1948" s="1793" t="s">
        <v>2474</v>
      </c>
      <c r="I1948" s="1794" t="s">
        <v>2475</v>
      </c>
      <c r="J1948" s="1795"/>
    </row>
    <row r="1949" spans="1:10" ht="24">
      <c r="A1949" s="1797" t="s">
        <v>2476</v>
      </c>
      <c r="B1949" s="1798" t="s">
        <v>2479</v>
      </c>
      <c r="C1949" s="1798">
        <v>1743</v>
      </c>
      <c r="D1949" s="1799" t="s">
        <v>2761</v>
      </c>
      <c r="E1949" s="1800" t="s">
        <v>2501</v>
      </c>
      <c r="F1949" s="1807">
        <v>1</v>
      </c>
      <c r="G1949" s="1801">
        <v>229.81</v>
      </c>
      <c r="H1949" s="1802">
        <f>IF(E1949="H",G1949,TRUNC(G1949*(1-$K$7),2))</f>
        <v>228.63</v>
      </c>
      <c r="I1949" s="1803">
        <f t="shared" ref="I1949:I1952" si="277">TRUNC(H1949*F1949,2)</f>
        <v>228.63</v>
      </c>
      <c r="J1949" s="1795"/>
    </row>
    <row r="1950" spans="1:10">
      <c r="A1950" s="1797" t="s">
        <v>2476</v>
      </c>
      <c r="B1950" s="1798" t="s">
        <v>2479</v>
      </c>
      <c r="C1950" s="1798">
        <v>4823</v>
      </c>
      <c r="D1950" s="1799" t="s">
        <v>2759</v>
      </c>
      <c r="E1950" s="1800" t="s">
        <v>1184</v>
      </c>
      <c r="F1950" s="1807">
        <v>0.2974</v>
      </c>
      <c r="G1950" s="1801">
        <v>61.24</v>
      </c>
      <c r="H1950" s="1802">
        <f>IF(E1950="H",G1950,TRUNC(G1950*(1-$K$7),2))</f>
        <v>60.92</v>
      </c>
      <c r="I1950" s="1803">
        <f t="shared" si="277"/>
        <v>18.11</v>
      </c>
      <c r="J1950" s="1795"/>
    </row>
    <row r="1951" spans="1:10" ht="24">
      <c r="A1951" s="1797" t="s">
        <v>2476</v>
      </c>
      <c r="B1951" s="1798" t="s">
        <v>7</v>
      </c>
      <c r="C1951" s="1798">
        <v>88274</v>
      </c>
      <c r="D1951" s="1799" t="s">
        <v>2672</v>
      </c>
      <c r="E1951" s="1800" t="s">
        <v>411</v>
      </c>
      <c r="F1951" s="1807">
        <v>0.47739999999999999</v>
      </c>
      <c r="G1951" s="1801">
        <v>24.49</v>
      </c>
      <c r="H1951" s="1802">
        <f>IF(E1951="H",G1951,TRUNC(G1951*(1-$K$7),2))</f>
        <v>24.49</v>
      </c>
      <c r="I1951" s="1803">
        <f t="shared" si="277"/>
        <v>11.69</v>
      </c>
      <c r="J1951" s="1795"/>
    </row>
    <row r="1952" spans="1:10">
      <c r="A1952" s="1797" t="s">
        <v>2476</v>
      </c>
      <c r="B1952" s="1798" t="s">
        <v>7</v>
      </c>
      <c r="C1952" s="1798">
        <v>88316</v>
      </c>
      <c r="D1952" s="1799" t="s">
        <v>66</v>
      </c>
      <c r="E1952" s="1800" t="s">
        <v>411</v>
      </c>
      <c r="F1952" s="1807">
        <v>0.15040000000000001</v>
      </c>
      <c r="G1952" s="1801">
        <v>19.45</v>
      </c>
      <c r="H1952" s="1802">
        <f>IF(E1952="H",G1952,TRUNC(G1952*(1-$K$7),2))</f>
        <v>19.45</v>
      </c>
      <c r="I1952" s="1803">
        <f t="shared" si="277"/>
        <v>2.92</v>
      </c>
      <c r="J1952" s="1795"/>
    </row>
    <row r="1953" spans="1:10">
      <c r="A1953" s="1943" t="s">
        <v>2477</v>
      </c>
      <c r="B1953" s="1944"/>
      <c r="C1953" s="1944"/>
      <c r="D1953" s="1944"/>
      <c r="E1953" s="1944"/>
      <c r="F1953" s="1944"/>
      <c r="G1953" s="1944"/>
      <c r="H1953" s="1945"/>
      <c r="I1953" s="1805">
        <f>SUM(I1949:I1952)</f>
        <v>261.35000000000002</v>
      </c>
      <c r="J1953" s="1795"/>
    </row>
    <row r="1954" spans="1:10">
      <c r="A1954" s="1929"/>
      <c r="B1954" s="1930"/>
      <c r="C1954" s="1930"/>
      <c r="D1954" s="1930"/>
      <c r="E1954" s="1930"/>
      <c r="F1954" s="1930"/>
      <c r="G1954" s="1930"/>
      <c r="H1954" s="1930"/>
      <c r="I1954" s="1931"/>
      <c r="J1954" s="1795"/>
    </row>
    <row r="1955" spans="1:10" ht="22.5" customHeight="1">
      <c r="A1955" s="1784">
        <f>'PLANILHA SEM DESON'!B297</f>
        <v>86911</v>
      </c>
      <c r="B1955" s="1940" t="str">
        <f>VLOOKUP(A1955,'PLANILHA SEM DESON'!$B$17:$D$1700,2,FALSE)</f>
        <v>TORNEIRA CROMADA LONGA, DE PAREDE, 1/2" OU 3/4", PARA PIA DE COZINHA,PADRÃO POPULAR - FORNECIMENTO E INSTALAÇÃO. AF_12/2013</v>
      </c>
      <c r="C1955" s="1941"/>
      <c r="D1955" s="1941"/>
      <c r="E1955" s="1941"/>
      <c r="F1955" s="1941"/>
      <c r="G1955" s="1941"/>
      <c r="H1955" s="1942"/>
      <c r="I1955" s="1785" t="str">
        <f>VLOOKUP(A1955,'PLANILHA SEM DESON'!$B$17:$D$1700,3,FALSE)</f>
        <v xml:space="preserve">un </v>
      </c>
      <c r="J1955" s="1786">
        <f>I1961</f>
        <v>89.11999999999999</v>
      </c>
    </row>
    <row r="1956" spans="1:10" ht="24">
      <c r="A1956" s="1788" t="s">
        <v>2470</v>
      </c>
      <c r="B1956" s="1789" t="s">
        <v>2471</v>
      </c>
      <c r="C1956" s="1790" t="s">
        <v>2468</v>
      </c>
      <c r="D1956" s="1791" t="s">
        <v>308</v>
      </c>
      <c r="E1956" s="1790" t="s">
        <v>202</v>
      </c>
      <c r="F1956" s="1792" t="s">
        <v>2472</v>
      </c>
      <c r="G1956" s="1790" t="s">
        <v>2473</v>
      </c>
      <c r="H1956" s="1793" t="s">
        <v>2474</v>
      </c>
      <c r="I1956" s="1794" t="s">
        <v>2475</v>
      </c>
      <c r="J1956" s="1795"/>
    </row>
    <row r="1957" spans="1:10">
      <c r="A1957" s="1797" t="s">
        <v>2476</v>
      </c>
      <c r="B1957" s="1798" t="s">
        <v>2479</v>
      </c>
      <c r="C1957" s="1798">
        <v>3146</v>
      </c>
      <c r="D1957" s="1799" t="s">
        <v>2748</v>
      </c>
      <c r="E1957" s="1800" t="s">
        <v>2501</v>
      </c>
      <c r="F1957" s="1807">
        <v>2.1000000000000001E-2</v>
      </c>
      <c r="G1957" s="1801">
        <v>4.88</v>
      </c>
      <c r="H1957" s="1802">
        <f>IF(E1957="H",G1957,TRUNC(G1957*(1-$K$7),2))</f>
        <v>4.8499999999999996</v>
      </c>
      <c r="I1957" s="1803">
        <f t="shared" ref="I1957:I1960" si="278">TRUNC(H1957*F1957,2)</f>
        <v>0.1</v>
      </c>
      <c r="J1957" s="1795"/>
    </row>
    <row r="1958" spans="1:10" ht="36">
      <c r="A1958" s="1797" t="s">
        <v>2476</v>
      </c>
      <c r="B1958" s="1798" t="s">
        <v>2479</v>
      </c>
      <c r="C1958" s="1798">
        <v>13416</v>
      </c>
      <c r="D1958" s="1799" t="s">
        <v>2762</v>
      </c>
      <c r="E1958" s="1800" t="s">
        <v>2501</v>
      </c>
      <c r="F1958" s="1807">
        <v>1</v>
      </c>
      <c r="G1958" s="1801">
        <v>85.89</v>
      </c>
      <c r="H1958" s="1802">
        <f>IF(E1958="H",G1958,TRUNC(G1958*(1-$K$7),2))</f>
        <v>85.45</v>
      </c>
      <c r="I1958" s="1803">
        <f t="shared" si="278"/>
        <v>85.45</v>
      </c>
      <c r="J1958" s="1795"/>
    </row>
    <row r="1959" spans="1:10" ht="24">
      <c r="A1959" s="1797" t="s">
        <v>2476</v>
      </c>
      <c r="B1959" s="1798" t="s">
        <v>7</v>
      </c>
      <c r="C1959" s="1798">
        <v>88267</v>
      </c>
      <c r="D1959" s="1799" t="s">
        <v>102</v>
      </c>
      <c r="E1959" s="1800" t="s">
        <v>411</v>
      </c>
      <c r="F1959" s="1807">
        <v>0.1164</v>
      </c>
      <c r="G1959" s="1801">
        <v>24.64</v>
      </c>
      <c r="H1959" s="1802">
        <f>IF(E1959="H",G1959,TRUNC(G1959*(1-$K$7),2))</f>
        <v>24.64</v>
      </c>
      <c r="I1959" s="1803">
        <f t="shared" si="278"/>
        <v>2.86</v>
      </c>
      <c r="J1959" s="1795"/>
    </row>
    <row r="1960" spans="1:10">
      <c r="A1960" s="1797" t="s">
        <v>2476</v>
      </c>
      <c r="B1960" s="1798" t="s">
        <v>7</v>
      </c>
      <c r="C1960" s="1798">
        <v>88316</v>
      </c>
      <c r="D1960" s="1799" t="s">
        <v>66</v>
      </c>
      <c r="E1960" s="1800" t="s">
        <v>411</v>
      </c>
      <c r="F1960" s="1807">
        <v>3.6700000000000003E-2</v>
      </c>
      <c r="G1960" s="1801">
        <v>19.45</v>
      </c>
      <c r="H1960" s="1802">
        <f>IF(E1960="H",G1960,TRUNC(G1960*(1-$K$7),2))</f>
        <v>19.45</v>
      </c>
      <c r="I1960" s="1803">
        <f t="shared" si="278"/>
        <v>0.71</v>
      </c>
      <c r="J1960" s="1795"/>
    </row>
    <row r="1961" spans="1:10">
      <c r="A1961" s="1943" t="s">
        <v>2477</v>
      </c>
      <c r="B1961" s="1944"/>
      <c r="C1961" s="1944"/>
      <c r="D1961" s="1944"/>
      <c r="E1961" s="1944"/>
      <c r="F1961" s="1944"/>
      <c r="G1961" s="1944"/>
      <c r="H1961" s="1945"/>
      <c r="I1961" s="1805">
        <f>SUM(I1957:I1960)</f>
        <v>89.11999999999999</v>
      </c>
      <c r="J1961" s="1795"/>
    </row>
    <row r="1962" spans="1:10">
      <c r="A1962" s="1929"/>
      <c r="B1962" s="1930"/>
      <c r="C1962" s="1930"/>
      <c r="D1962" s="1930"/>
      <c r="E1962" s="1930"/>
      <c r="F1962" s="1930"/>
      <c r="G1962" s="1930"/>
      <c r="H1962" s="1930"/>
      <c r="I1962" s="1931"/>
      <c r="J1962" s="1795"/>
    </row>
    <row r="1963" spans="1:10" ht="25.5" customHeight="1">
      <c r="A1963" s="1784">
        <f>'PLANILHA SEM DESON'!B298</f>
        <v>86915</v>
      </c>
      <c r="B1963" s="1940" t="str">
        <f>VLOOKUP(A1963,'PLANILHA SEM DESON'!$B$17:$D$1700,2,FALSE)</f>
        <v>TORNEIRA CROMADA DE MESA, 1/2" OU 3/4", PARA LAVATÓRIO, PADRÃO MÉDIO FORNECIMENTO E INSTALAÇÃO. AF_12/2013</v>
      </c>
      <c r="C1963" s="1941"/>
      <c r="D1963" s="1941"/>
      <c r="E1963" s="1941"/>
      <c r="F1963" s="1941"/>
      <c r="G1963" s="1941"/>
      <c r="H1963" s="1942"/>
      <c r="I1963" s="1785" t="str">
        <f>VLOOKUP(A1963,'PLANILHA SEM DESON'!$B$17:$D$1700,3,FALSE)</f>
        <v xml:space="preserve">un </v>
      </c>
      <c r="J1963" s="1786">
        <f>I1969</f>
        <v>145.97000000000003</v>
      </c>
    </row>
    <row r="1964" spans="1:10" ht="24">
      <c r="A1964" s="1788" t="s">
        <v>2470</v>
      </c>
      <c r="B1964" s="1789" t="s">
        <v>2471</v>
      </c>
      <c r="C1964" s="1790" t="s">
        <v>2468</v>
      </c>
      <c r="D1964" s="1791" t="s">
        <v>308</v>
      </c>
      <c r="E1964" s="1790" t="s">
        <v>202</v>
      </c>
      <c r="F1964" s="1792" t="s">
        <v>2472</v>
      </c>
      <c r="G1964" s="1790" t="s">
        <v>2473</v>
      </c>
      <c r="H1964" s="1793" t="s">
        <v>2474</v>
      </c>
      <c r="I1964" s="1794" t="s">
        <v>2475</v>
      </c>
      <c r="J1964" s="1795"/>
    </row>
    <row r="1965" spans="1:10">
      <c r="A1965" s="1797" t="s">
        <v>2476</v>
      </c>
      <c r="B1965" s="1798" t="s">
        <v>2479</v>
      </c>
      <c r="C1965" s="1798">
        <v>3146</v>
      </c>
      <c r="D1965" s="1799" t="s">
        <v>2748</v>
      </c>
      <c r="E1965" s="1800" t="s">
        <v>2501</v>
      </c>
      <c r="F1965" s="1807">
        <v>2.1000000000000001E-2</v>
      </c>
      <c r="G1965" s="1801">
        <v>4.88</v>
      </c>
      <c r="H1965" s="1802">
        <f>IF(E1965="H",G1965,TRUNC(G1965*(1-$K$7),2))</f>
        <v>4.8499999999999996</v>
      </c>
      <c r="I1965" s="1803">
        <f t="shared" ref="I1965:I1968" si="279">TRUNC(H1965*F1965,2)</f>
        <v>0.1</v>
      </c>
      <c r="J1965" s="1795"/>
    </row>
    <row r="1966" spans="1:10" ht="24">
      <c r="A1966" s="1797" t="s">
        <v>2476</v>
      </c>
      <c r="B1966" s="1798" t="s">
        <v>2479</v>
      </c>
      <c r="C1966" s="1798">
        <v>36791</v>
      </c>
      <c r="D1966" s="1799" t="s">
        <v>2763</v>
      </c>
      <c r="E1966" s="1800" t="s">
        <v>2501</v>
      </c>
      <c r="F1966" s="1807">
        <v>1</v>
      </c>
      <c r="G1966" s="1801">
        <v>143.66999999999999</v>
      </c>
      <c r="H1966" s="1802">
        <f>IF(E1966="H",G1966,TRUNC(G1966*(1-$K$7),2))</f>
        <v>142.93</v>
      </c>
      <c r="I1966" s="1803">
        <f t="shared" si="279"/>
        <v>142.93</v>
      </c>
      <c r="J1966" s="1795"/>
    </row>
    <row r="1967" spans="1:10" ht="24">
      <c r="A1967" s="1797" t="s">
        <v>2476</v>
      </c>
      <c r="B1967" s="1798" t="s">
        <v>7</v>
      </c>
      <c r="C1967" s="1798">
        <v>88267</v>
      </c>
      <c r="D1967" s="1799" t="s">
        <v>102</v>
      </c>
      <c r="E1967" s="1800" t="s">
        <v>411</v>
      </c>
      <c r="F1967" s="1807">
        <v>9.6000000000000002E-2</v>
      </c>
      <c r="G1967" s="1801">
        <v>24.64</v>
      </c>
      <c r="H1967" s="1802">
        <f>IF(E1967="H",G1967,TRUNC(G1967*(1-$K$7),2))</f>
        <v>24.64</v>
      </c>
      <c r="I1967" s="1803">
        <f t="shared" si="279"/>
        <v>2.36</v>
      </c>
      <c r="J1967" s="1795"/>
    </row>
    <row r="1968" spans="1:10">
      <c r="A1968" s="1797" t="s">
        <v>2476</v>
      </c>
      <c r="B1968" s="1798" t="s">
        <v>7</v>
      </c>
      <c r="C1968" s="1798">
        <v>88316</v>
      </c>
      <c r="D1968" s="1799" t="s">
        <v>66</v>
      </c>
      <c r="E1968" s="1800" t="s">
        <v>411</v>
      </c>
      <c r="F1968" s="1807">
        <v>3.0300000000000001E-2</v>
      </c>
      <c r="G1968" s="1801">
        <v>19.45</v>
      </c>
      <c r="H1968" s="1802">
        <f>IF(E1968="H",G1968,TRUNC(G1968*(1-$K$7),2))</f>
        <v>19.45</v>
      </c>
      <c r="I1968" s="1803">
        <f t="shared" si="279"/>
        <v>0.57999999999999996</v>
      </c>
      <c r="J1968" s="1795"/>
    </row>
    <row r="1969" spans="1:10">
      <c r="A1969" s="1943" t="s">
        <v>2477</v>
      </c>
      <c r="B1969" s="1944"/>
      <c r="C1969" s="1944"/>
      <c r="D1969" s="1944"/>
      <c r="E1969" s="1944"/>
      <c r="F1969" s="1944"/>
      <c r="G1969" s="1944"/>
      <c r="H1969" s="1945"/>
      <c r="I1969" s="1805">
        <f>SUM(I1965:I1968)</f>
        <v>145.97000000000003</v>
      </c>
      <c r="J1969" s="1795"/>
    </row>
    <row r="1970" spans="1:10">
      <c r="A1970" s="1929"/>
      <c r="B1970" s="1930"/>
      <c r="C1970" s="1930"/>
      <c r="D1970" s="1930"/>
      <c r="E1970" s="1930"/>
      <c r="F1970" s="1930"/>
      <c r="G1970" s="1930"/>
      <c r="H1970" s="1930"/>
      <c r="I1970" s="1931"/>
      <c r="J1970" s="1795"/>
    </row>
    <row r="1971" spans="1:10" ht="35.25" customHeight="1">
      <c r="A1971" s="1784">
        <f>'PLANILHA SEM DESON'!B299</f>
        <v>86914</v>
      </c>
      <c r="B1971" s="1940" t="str">
        <f>VLOOKUP(A1971,'PLANILHA SEM DESON'!$B$17:$D$1700,2,FALSE)</f>
        <v>TORNEIRA CROMADA 1/2" OU 3/4" PARA TANQUE, PADRÃO MÉDIO - FORNECIMENTO E INSTALAÇÃO. AF_12/2013</v>
      </c>
      <c r="C1971" s="1941"/>
      <c r="D1971" s="1941"/>
      <c r="E1971" s="1941"/>
      <c r="F1971" s="1941"/>
      <c r="G1971" s="1941"/>
      <c r="H1971" s="1942"/>
      <c r="I1971" s="1785" t="str">
        <f>VLOOKUP(A1971,'PLANILHA SEM DESON'!$B$17:$D$1700,3,FALSE)</f>
        <v xml:space="preserve">un </v>
      </c>
      <c r="J1971" s="1786">
        <f>I1977</f>
        <v>100.02</v>
      </c>
    </row>
    <row r="1972" spans="1:10" ht="24">
      <c r="A1972" s="1788" t="s">
        <v>2470</v>
      </c>
      <c r="B1972" s="1789" t="s">
        <v>2471</v>
      </c>
      <c r="C1972" s="1790" t="s">
        <v>2468</v>
      </c>
      <c r="D1972" s="1791" t="s">
        <v>308</v>
      </c>
      <c r="E1972" s="1790" t="s">
        <v>202</v>
      </c>
      <c r="F1972" s="1792" t="s">
        <v>2472</v>
      </c>
      <c r="G1972" s="1790" t="s">
        <v>2473</v>
      </c>
      <c r="H1972" s="1793" t="s">
        <v>2474</v>
      </c>
      <c r="I1972" s="1794" t="s">
        <v>2475</v>
      </c>
      <c r="J1972" s="1795"/>
    </row>
    <row r="1973" spans="1:10">
      <c r="A1973" s="1797" t="s">
        <v>2476</v>
      </c>
      <c r="B1973" s="1798" t="s">
        <v>2479</v>
      </c>
      <c r="C1973" s="1798">
        <v>3146</v>
      </c>
      <c r="D1973" s="1799" t="s">
        <v>2748</v>
      </c>
      <c r="E1973" s="1800" t="s">
        <v>2501</v>
      </c>
      <c r="F1973" s="1807">
        <v>2.1000000000000001E-2</v>
      </c>
      <c r="G1973" s="1801">
        <v>4.88</v>
      </c>
      <c r="H1973" s="1802">
        <f>IF(E1973="H",G1973,TRUNC(G1973*(1-$K$7),2))</f>
        <v>4.8499999999999996</v>
      </c>
      <c r="I1973" s="1803">
        <f t="shared" ref="I1973:I1976" si="280">TRUNC(H1973*F1973,2)</f>
        <v>0.1</v>
      </c>
      <c r="J1973" s="1795"/>
    </row>
    <row r="1974" spans="1:10" ht="36">
      <c r="A1974" s="1797" t="s">
        <v>2476</v>
      </c>
      <c r="B1974" s="1798" t="s">
        <v>2479</v>
      </c>
      <c r="C1974" s="1798">
        <v>13417</v>
      </c>
      <c r="D1974" s="1799" t="s">
        <v>2764</v>
      </c>
      <c r="E1974" s="1800" t="s">
        <v>2501</v>
      </c>
      <c r="F1974" s="1807">
        <v>1</v>
      </c>
      <c r="G1974" s="1801">
        <v>95.73</v>
      </c>
      <c r="H1974" s="1802">
        <f>IF(E1974="H",G1974,TRUNC(G1974*(1-$K$7),2))</f>
        <v>95.24</v>
      </c>
      <c r="I1974" s="1803">
        <f t="shared" si="280"/>
        <v>95.24</v>
      </c>
      <c r="J1974" s="1795"/>
    </row>
    <row r="1975" spans="1:10" ht="24">
      <c r="A1975" s="1797" t="s">
        <v>2476</v>
      </c>
      <c r="B1975" s="1798" t="s">
        <v>7</v>
      </c>
      <c r="C1975" s="1798">
        <v>88267</v>
      </c>
      <c r="D1975" s="1799" t="s">
        <v>102</v>
      </c>
      <c r="E1975" s="1800" t="s">
        <v>411</v>
      </c>
      <c r="F1975" s="1807">
        <v>0.1525</v>
      </c>
      <c r="G1975" s="1801">
        <v>24.64</v>
      </c>
      <c r="H1975" s="1802">
        <f>IF(E1975="H",G1975,TRUNC(G1975*(1-$K$7),2))</f>
        <v>24.64</v>
      </c>
      <c r="I1975" s="1803">
        <f t="shared" si="280"/>
        <v>3.75</v>
      </c>
      <c r="J1975" s="1795"/>
    </row>
    <row r="1976" spans="1:10">
      <c r="A1976" s="1797" t="s">
        <v>2476</v>
      </c>
      <c r="B1976" s="1798" t="s">
        <v>7</v>
      </c>
      <c r="C1976" s="1798">
        <v>88316</v>
      </c>
      <c r="D1976" s="1799" t="s">
        <v>66</v>
      </c>
      <c r="E1976" s="1800" t="s">
        <v>411</v>
      </c>
      <c r="F1976" s="1807">
        <v>4.8099999999999997E-2</v>
      </c>
      <c r="G1976" s="1801">
        <v>19.45</v>
      </c>
      <c r="H1976" s="1802">
        <f>IF(E1976="H",G1976,TRUNC(G1976*(1-$K$7),2))</f>
        <v>19.45</v>
      </c>
      <c r="I1976" s="1803">
        <f t="shared" si="280"/>
        <v>0.93</v>
      </c>
      <c r="J1976" s="1795"/>
    </row>
    <row r="1977" spans="1:10">
      <c r="A1977" s="1943" t="s">
        <v>2477</v>
      </c>
      <c r="B1977" s="1944"/>
      <c r="C1977" s="1944"/>
      <c r="D1977" s="1944"/>
      <c r="E1977" s="1944"/>
      <c r="F1977" s="1944"/>
      <c r="G1977" s="1944"/>
      <c r="H1977" s="1945"/>
      <c r="I1977" s="1805">
        <f>SUM(I1973:I1976)</f>
        <v>100.02</v>
      </c>
      <c r="J1977" s="1795"/>
    </row>
    <row r="1978" spans="1:10">
      <c r="A1978" s="1929"/>
      <c r="B1978" s="1930"/>
      <c r="C1978" s="1930"/>
      <c r="D1978" s="1930"/>
      <c r="E1978" s="1930"/>
      <c r="F1978" s="1930"/>
      <c r="G1978" s="1930"/>
      <c r="H1978" s="1930"/>
      <c r="I1978" s="1931"/>
      <c r="J1978" s="1795"/>
    </row>
    <row r="1979" spans="1:10">
      <c r="A1979" s="1784" t="str">
        <f>'PLANILHA SEM DESON'!B300</f>
        <v>COMP 06</v>
      </c>
      <c r="B1979" s="1940" t="str">
        <f>VLOOKUP(A1979,'PLANILHA SEM DESON'!$B$17:$D$1700,2,FALSE)</f>
        <v>FORNECIMENTO E INSTALAÇÃO DE BARRA DE APOIO RETA,EM ALUMÍNIO,40 CM - FIXADA  EM PAREDE</v>
      </c>
      <c r="C1979" s="1941"/>
      <c r="D1979" s="1941"/>
      <c r="E1979" s="1941"/>
      <c r="F1979" s="1941"/>
      <c r="G1979" s="1941"/>
      <c r="H1979" s="1942"/>
      <c r="I1979" s="1785" t="str">
        <f>VLOOKUP(A1979,'PLANILHA SEM DESON'!$B$17:$D$1700,3,FALSE)</f>
        <v xml:space="preserve">un </v>
      </c>
      <c r="J1979" s="1786">
        <f>I1985</f>
        <v>408.46</v>
      </c>
    </row>
    <row r="1980" spans="1:10" ht="24">
      <c r="A1980" s="1788" t="s">
        <v>2470</v>
      </c>
      <c r="B1980" s="1789" t="s">
        <v>2471</v>
      </c>
      <c r="C1980" s="1790" t="s">
        <v>2468</v>
      </c>
      <c r="D1980" s="1791" t="s">
        <v>308</v>
      </c>
      <c r="E1980" s="1790" t="s">
        <v>202</v>
      </c>
      <c r="F1980" s="1792" t="s">
        <v>2472</v>
      </c>
      <c r="G1980" s="1790" t="s">
        <v>2473</v>
      </c>
      <c r="H1980" s="1793" t="s">
        <v>2474</v>
      </c>
      <c r="I1980" s="1794" t="s">
        <v>2475</v>
      </c>
      <c r="J1980" s="1795"/>
    </row>
    <row r="1981" spans="1:10" ht="24">
      <c r="A1981" s="1797"/>
      <c r="B1981" s="1798"/>
      <c r="C1981" s="1798">
        <v>88267</v>
      </c>
      <c r="D1981" s="1799" t="s">
        <v>102</v>
      </c>
      <c r="E1981" s="1800" t="s">
        <v>57</v>
      </c>
      <c r="F1981" s="1809">
        <v>0.94850000000000001</v>
      </c>
      <c r="G1981" s="1806">
        <v>24.64</v>
      </c>
      <c r="H1981" s="1802">
        <f>IF(E1981="H",G1981,TRUNC(G1981*(1-$K$7),2))</f>
        <v>24.64</v>
      </c>
      <c r="I1981" s="1803">
        <f t="shared" ref="I1981:I1984" si="281">TRUNC(H1981*F1981,2)</f>
        <v>23.37</v>
      </c>
      <c r="J1981" s="1795"/>
    </row>
    <row r="1982" spans="1:10">
      <c r="A1982" s="1797"/>
      <c r="B1982" s="1798"/>
      <c r="C1982" s="1798">
        <v>88316</v>
      </c>
      <c r="D1982" s="1799" t="s">
        <v>66</v>
      </c>
      <c r="E1982" s="1800" t="s">
        <v>57</v>
      </c>
      <c r="F1982" s="1809">
        <v>0.29880000000000001</v>
      </c>
      <c r="G1982" s="1808">
        <v>19.45</v>
      </c>
      <c r="H1982" s="1802">
        <f>IF(E1982="H",G1982,TRUNC(G1982*(1-$K$7),2))</f>
        <v>19.45</v>
      </c>
      <c r="I1982" s="1803">
        <f t="shared" si="281"/>
        <v>5.81</v>
      </c>
      <c r="J1982" s="1795"/>
    </row>
    <row r="1983" spans="1:10" ht="24">
      <c r="A1983" s="1797"/>
      <c r="B1983" s="1798"/>
      <c r="C1983" s="1798" t="s">
        <v>65</v>
      </c>
      <c r="D1983" s="1799" t="s">
        <v>439</v>
      </c>
      <c r="E1983" s="1800" t="s">
        <v>55</v>
      </c>
      <c r="F1983" s="1806">
        <v>1</v>
      </c>
      <c r="G1983" s="1806">
        <v>269.89999999999998</v>
      </c>
      <c r="H1983" s="1802">
        <f>IF(E1983="H",G1983,TRUNC(G1983*(1-$K$7),2))</f>
        <v>268.52</v>
      </c>
      <c r="I1983" s="1803">
        <f t="shared" si="281"/>
        <v>268.52</v>
      </c>
      <c r="J1983" s="1795"/>
    </row>
    <row r="1984" spans="1:10" ht="36">
      <c r="A1984" s="1797"/>
      <c r="B1984" s="1798"/>
      <c r="C1984" s="1798">
        <v>4351</v>
      </c>
      <c r="D1984" s="1799" t="s">
        <v>438</v>
      </c>
      <c r="E1984" s="1800" t="s">
        <v>55</v>
      </c>
      <c r="F1984" s="1806">
        <v>6</v>
      </c>
      <c r="G1984" s="1806">
        <v>18.559999999999999</v>
      </c>
      <c r="H1984" s="1802">
        <f>IF(E1984="H",G1984,TRUNC(G1984*(1-$K$7),2))</f>
        <v>18.46</v>
      </c>
      <c r="I1984" s="1803">
        <f t="shared" si="281"/>
        <v>110.76</v>
      </c>
      <c r="J1984" s="1795"/>
    </row>
    <row r="1985" spans="1:10">
      <c r="A1985" s="1943" t="s">
        <v>2477</v>
      </c>
      <c r="B1985" s="1944"/>
      <c r="C1985" s="1944"/>
      <c r="D1985" s="1944"/>
      <c r="E1985" s="1944"/>
      <c r="F1985" s="1944"/>
      <c r="G1985" s="1944"/>
      <c r="H1985" s="1945"/>
      <c r="I1985" s="1805">
        <f>SUM(I1981:I1984)</f>
        <v>408.46</v>
      </c>
      <c r="J1985" s="1795"/>
    </row>
    <row r="1986" spans="1:10">
      <c r="A1986" s="1929"/>
      <c r="B1986" s="1930"/>
      <c r="C1986" s="1930"/>
      <c r="D1986" s="1930"/>
      <c r="E1986" s="1930"/>
      <c r="F1986" s="1930"/>
      <c r="G1986" s="1930"/>
      <c r="H1986" s="1930"/>
      <c r="I1986" s="1931"/>
      <c r="J1986" s="1795"/>
    </row>
    <row r="1987" spans="1:10">
      <c r="A1987" s="1784" t="str">
        <f>'PLANILHA SEM DESON'!B301</f>
        <v>COMP 15</v>
      </c>
      <c r="B1987" s="1940" t="str">
        <f>VLOOKUP(A1987,'PLANILHA SEM DESON'!$B$17:$D$1700,2,FALSE)</f>
        <v>FORNECIMENTO E INSTALAÇÃO DE BARRA DE APOIO RETA,EM ALUMÍNIO,80 CM-FIXADA NA PAREDE</v>
      </c>
      <c r="C1987" s="1941"/>
      <c r="D1987" s="1941"/>
      <c r="E1987" s="1941"/>
      <c r="F1987" s="1941"/>
      <c r="G1987" s="1941"/>
      <c r="H1987" s="1942"/>
      <c r="I1987" s="1785" t="str">
        <f>VLOOKUP(A1987,'PLANILHA SEM DESON'!$B$17:$D$1700,3,FALSE)</f>
        <v xml:space="preserve">un </v>
      </c>
      <c r="J1987" s="1786">
        <f>I1993</f>
        <v>308.07</v>
      </c>
    </row>
    <row r="1988" spans="1:10" ht="24">
      <c r="A1988" s="1788" t="s">
        <v>2470</v>
      </c>
      <c r="B1988" s="1789" t="s">
        <v>2471</v>
      </c>
      <c r="C1988" s="1790" t="s">
        <v>2468</v>
      </c>
      <c r="D1988" s="1791" t="s">
        <v>308</v>
      </c>
      <c r="E1988" s="1790" t="s">
        <v>202</v>
      </c>
      <c r="F1988" s="1792" t="s">
        <v>2472</v>
      </c>
      <c r="G1988" s="1790" t="s">
        <v>2473</v>
      </c>
      <c r="H1988" s="1793" t="s">
        <v>2474</v>
      </c>
      <c r="I1988" s="1794" t="s">
        <v>2475</v>
      </c>
      <c r="J1988" s="1795"/>
    </row>
    <row r="1989" spans="1:10" ht="24">
      <c r="A1989" s="1797"/>
      <c r="B1989" s="1798"/>
      <c r="C1989" s="1798">
        <v>88267</v>
      </c>
      <c r="D1989" s="1799" t="s">
        <v>102</v>
      </c>
      <c r="E1989" s="1800" t="s">
        <v>57</v>
      </c>
      <c r="F1989" s="1809">
        <v>0.94850000000000001</v>
      </c>
      <c r="G1989" s="1806">
        <v>24.64</v>
      </c>
      <c r="H1989" s="1802">
        <f>IF(E1989="H",G1989,TRUNC(G1989*(1-$K$7),2))</f>
        <v>24.64</v>
      </c>
      <c r="I1989" s="1803">
        <f t="shared" ref="I1989:I1992" si="282">TRUNC(H1989*F1989,2)</f>
        <v>23.37</v>
      </c>
      <c r="J1989" s="1795"/>
    </row>
    <row r="1990" spans="1:10">
      <c r="A1990" s="1797"/>
      <c r="B1990" s="1798"/>
      <c r="C1990" s="1798">
        <v>88316</v>
      </c>
      <c r="D1990" s="1799" t="s">
        <v>66</v>
      </c>
      <c r="E1990" s="1800" t="s">
        <v>57</v>
      </c>
      <c r="F1990" s="1809">
        <v>0.29880000000000001</v>
      </c>
      <c r="G1990" s="1808">
        <v>19.45</v>
      </c>
      <c r="H1990" s="1802">
        <f>IF(E1990="H",G1990,TRUNC(G1990*(1-$K$7),2))</f>
        <v>19.45</v>
      </c>
      <c r="I1990" s="1803">
        <f t="shared" si="282"/>
        <v>5.81</v>
      </c>
      <c r="J1990" s="1795"/>
    </row>
    <row r="1991" spans="1:10" ht="24">
      <c r="A1991" s="1797"/>
      <c r="B1991" s="1798"/>
      <c r="C1991" s="1798">
        <v>36080</v>
      </c>
      <c r="D1991" s="1799" t="s">
        <v>433</v>
      </c>
      <c r="E1991" s="1800" t="s">
        <v>55</v>
      </c>
      <c r="F1991" s="1806">
        <v>1</v>
      </c>
      <c r="G1991" s="1806">
        <v>169</v>
      </c>
      <c r="H1991" s="1802">
        <f>IF(E1991="H",G1991,TRUNC(G1991*(1-$K$7),2))</f>
        <v>168.13</v>
      </c>
      <c r="I1991" s="1803">
        <f t="shared" si="282"/>
        <v>168.13</v>
      </c>
      <c r="J1991" s="1795"/>
    </row>
    <row r="1992" spans="1:10" ht="36">
      <c r="A1992" s="1797"/>
      <c r="B1992" s="1798"/>
      <c r="C1992" s="1798">
        <v>4351</v>
      </c>
      <c r="D1992" s="1799" t="s">
        <v>438</v>
      </c>
      <c r="E1992" s="1800" t="s">
        <v>55</v>
      </c>
      <c r="F1992" s="1806">
        <v>6</v>
      </c>
      <c r="G1992" s="1806">
        <v>18.559999999999999</v>
      </c>
      <c r="H1992" s="1802">
        <f>IF(E1992="H",G1992,TRUNC(G1992*(1-$K$7),2))</f>
        <v>18.46</v>
      </c>
      <c r="I1992" s="1803">
        <f t="shared" si="282"/>
        <v>110.76</v>
      </c>
      <c r="J1992" s="1795"/>
    </row>
    <row r="1993" spans="1:10">
      <c r="A1993" s="1943" t="s">
        <v>2477</v>
      </c>
      <c r="B1993" s="1944"/>
      <c r="C1993" s="1944"/>
      <c r="D1993" s="1944"/>
      <c r="E1993" s="1944"/>
      <c r="F1993" s="1944"/>
      <c r="G1993" s="1944"/>
      <c r="H1993" s="1945"/>
      <c r="I1993" s="1805">
        <f>SUM(I1989:I1992)</f>
        <v>308.07</v>
      </c>
      <c r="J1993" s="1795"/>
    </row>
    <row r="1994" spans="1:10">
      <c r="A1994" s="1929"/>
      <c r="B1994" s="1930"/>
      <c r="C1994" s="1930"/>
      <c r="D1994" s="1930"/>
      <c r="E1994" s="1930"/>
      <c r="F1994" s="1930"/>
      <c r="G1994" s="1930"/>
      <c r="H1994" s="1930"/>
      <c r="I1994" s="1931"/>
      <c r="J1994" s="1795"/>
    </row>
    <row r="1995" spans="1:10">
      <c r="A1995" s="1784" t="str">
        <f>'PLANILHA SEM DESON'!B302</f>
        <v>COMP 16</v>
      </c>
      <c r="B1995" s="1940" t="str">
        <f>VLOOKUP(A1995,'PLANILHA SEM DESON'!$B$17:$D$1700,2,FALSE)</f>
        <v>FORNECIMENTO E INSTALAÇÃO DE BARRA DE APOIO RETA,EM ALUMÍNIO,70 CM-FIXADA NA PAREDE</v>
      </c>
      <c r="C1995" s="1941"/>
      <c r="D1995" s="1941"/>
      <c r="E1995" s="1941"/>
      <c r="F1995" s="1941"/>
      <c r="G1995" s="1941"/>
      <c r="H1995" s="1942"/>
      <c r="I1995" s="1785" t="str">
        <f>VLOOKUP(A1995,'PLANILHA SEM DESON'!$B$17:$D$1700,3,FALSE)</f>
        <v xml:space="preserve">un </v>
      </c>
      <c r="J1995" s="1786">
        <f>I2001</f>
        <v>295.38</v>
      </c>
    </row>
    <row r="1996" spans="1:10" ht="24">
      <c r="A1996" s="1788" t="s">
        <v>2470</v>
      </c>
      <c r="B1996" s="1789" t="s">
        <v>2471</v>
      </c>
      <c r="C1996" s="1790" t="s">
        <v>2468</v>
      </c>
      <c r="D1996" s="1791" t="s">
        <v>308</v>
      </c>
      <c r="E1996" s="1790" t="s">
        <v>202</v>
      </c>
      <c r="F1996" s="1792" t="s">
        <v>2472</v>
      </c>
      <c r="G1996" s="1790" t="s">
        <v>2473</v>
      </c>
      <c r="H1996" s="1793" t="s">
        <v>2474</v>
      </c>
      <c r="I1996" s="1794" t="s">
        <v>2475</v>
      </c>
      <c r="J1996" s="1795"/>
    </row>
    <row r="1997" spans="1:10" ht="24">
      <c r="A1997" s="1797"/>
      <c r="B1997" s="1798"/>
      <c r="C1997" s="1798">
        <v>88267</v>
      </c>
      <c r="D1997" s="1799" t="s">
        <v>102</v>
      </c>
      <c r="E1997" s="1800" t="s">
        <v>57</v>
      </c>
      <c r="F1997" s="1809">
        <v>0.94850000000000001</v>
      </c>
      <c r="G1997" s="1806">
        <v>24.64</v>
      </c>
      <c r="H1997" s="1802">
        <f>IF(E1997="H",G1997,TRUNC(G1997*(1-$K$7),2))</f>
        <v>24.64</v>
      </c>
      <c r="I1997" s="1803">
        <f t="shared" ref="I1997:I2000" si="283">TRUNC(H1997*F1997,2)</f>
        <v>23.37</v>
      </c>
      <c r="J1997" s="1795"/>
    </row>
    <row r="1998" spans="1:10">
      <c r="A1998" s="1797"/>
      <c r="B1998" s="1798"/>
      <c r="C1998" s="1798">
        <v>88316</v>
      </c>
      <c r="D1998" s="1799" t="s">
        <v>66</v>
      </c>
      <c r="E1998" s="1800" t="s">
        <v>57</v>
      </c>
      <c r="F1998" s="1809">
        <v>0.29880000000000001</v>
      </c>
      <c r="G1998" s="1808">
        <v>19.45</v>
      </c>
      <c r="H1998" s="1802">
        <f>IF(E1998="H",G1998,TRUNC(G1998*(1-$K$7),2))</f>
        <v>19.45</v>
      </c>
      <c r="I1998" s="1803">
        <f t="shared" si="283"/>
        <v>5.81</v>
      </c>
      <c r="J1998" s="1795"/>
    </row>
    <row r="1999" spans="1:10" ht="24">
      <c r="A1999" s="1797"/>
      <c r="B1999" s="1798"/>
      <c r="C1999" s="1798">
        <v>36220</v>
      </c>
      <c r="D1999" s="1799" t="s">
        <v>433</v>
      </c>
      <c r="E1999" s="1800" t="s">
        <v>55</v>
      </c>
      <c r="F1999" s="1806">
        <v>1</v>
      </c>
      <c r="G1999" s="1806">
        <v>156.24</v>
      </c>
      <c r="H1999" s="1802">
        <f>IF(E1999="H",G1999,TRUNC(G1999*(1-$K$7),2))</f>
        <v>155.44</v>
      </c>
      <c r="I1999" s="1803">
        <f t="shared" si="283"/>
        <v>155.44</v>
      </c>
      <c r="J1999" s="1795"/>
    </row>
    <row r="2000" spans="1:10" ht="36">
      <c r="A2000" s="1797"/>
      <c r="B2000" s="1798"/>
      <c r="C2000" s="1798">
        <v>4351</v>
      </c>
      <c r="D2000" s="1799" t="s">
        <v>438</v>
      </c>
      <c r="E2000" s="1800" t="s">
        <v>55</v>
      </c>
      <c r="F2000" s="1806">
        <v>6</v>
      </c>
      <c r="G2000" s="1806">
        <v>18.559999999999999</v>
      </c>
      <c r="H2000" s="1802">
        <f>IF(E2000="H",G2000,TRUNC(G2000*(1-$K$7),2))</f>
        <v>18.46</v>
      </c>
      <c r="I2000" s="1803">
        <f t="shared" si="283"/>
        <v>110.76</v>
      </c>
      <c r="J2000" s="1795"/>
    </row>
    <row r="2001" spans="1:10">
      <c r="A2001" s="1943" t="s">
        <v>2477</v>
      </c>
      <c r="B2001" s="1944"/>
      <c r="C2001" s="1944"/>
      <c r="D2001" s="1944"/>
      <c r="E2001" s="1944"/>
      <c r="F2001" s="1944"/>
      <c r="G2001" s="1944"/>
      <c r="H2001" s="1945"/>
      <c r="I2001" s="1805">
        <f>SUM(I1997:I2000)</f>
        <v>295.38</v>
      </c>
      <c r="J2001" s="1795"/>
    </row>
    <row r="2002" spans="1:10">
      <c r="A2002" s="1929"/>
      <c r="B2002" s="1930"/>
      <c r="C2002" s="1930"/>
      <c r="D2002" s="1930"/>
      <c r="E2002" s="1930"/>
      <c r="F2002" s="1930"/>
      <c r="G2002" s="1930"/>
      <c r="H2002" s="1930"/>
      <c r="I2002" s="1931"/>
      <c r="J2002" s="1795"/>
    </row>
    <row r="2003" spans="1:10" ht="24.75" customHeight="1">
      <c r="A2003" s="1784">
        <f>'PLANILHA SEM DESON'!B303</f>
        <v>95547</v>
      </c>
      <c r="B2003" s="1940" t="str">
        <f>VLOOKUP(A2003,'PLANILHA SEM DESON'!$B$17:$D$1700,2,FALSE)</f>
        <v>SABONETEIRA PLASTICA TIPO DISPENSER PARA SABONETE LIQUIDO COM RESERVATORIO 800 A 1500 ML, INCLUSO FIXAÇÃO. AF_01/2020</v>
      </c>
      <c r="C2003" s="1941"/>
      <c r="D2003" s="1941"/>
      <c r="E2003" s="1941"/>
      <c r="F2003" s="1941"/>
      <c r="G2003" s="1941"/>
      <c r="H2003" s="1942"/>
      <c r="I2003" s="1785" t="str">
        <f>VLOOKUP(A2003,'PLANILHA SEM DESON'!$B$17:$D$1700,3,FALSE)</f>
        <v xml:space="preserve">un </v>
      </c>
      <c r="J2003" s="1786">
        <f>I2008</f>
        <v>74.160000000000011</v>
      </c>
    </row>
    <row r="2004" spans="1:10" ht="24">
      <c r="A2004" s="1788" t="s">
        <v>2470</v>
      </c>
      <c r="B2004" s="1789" t="s">
        <v>2471</v>
      </c>
      <c r="C2004" s="1790" t="s">
        <v>2468</v>
      </c>
      <c r="D2004" s="1791" t="s">
        <v>308</v>
      </c>
      <c r="E2004" s="1790" t="s">
        <v>202</v>
      </c>
      <c r="F2004" s="1792" t="s">
        <v>2472</v>
      </c>
      <c r="G2004" s="1790" t="s">
        <v>2473</v>
      </c>
      <c r="H2004" s="1793" t="s">
        <v>2474</v>
      </c>
      <c r="I2004" s="1794" t="s">
        <v>2475</v>
      </c>
      <c r="J2004" s="1795"/>
    </row>
    <row r="2005" spans="1:10" ht="24">
      <c r="A2005" s="1797" t="s">
        <v>2476</v>
      </c>
      <c r="B2005" s="1798" t="s">
        <v>2479</v>
      </c>
      <c r="C2005" s="1798">
        <v>11758</v>
      </c>
      <c r="D2005" s="1799" t="s">
        <v>2765</v>
      </c>
      <c r="E2005" s="1800" t="s">
        <v>2501</v>
      </c>
      <c r="F2005" s="1807">
        <v>1</v>
      </c>
      <c r="G2005" s="1801">
        <v>64.78</v>
      </c>
      <c r="H2005" s="1802">
        <f>IF(E2005="H",G2005,TRUNC(G2005*(1-$K$7),2))</f>
        <v>64.44</v>
      </c>
      <c r="I2005" s="1803">
        <f t="shared" ref="I2005:I2007" si="284">TRUNC(H2005*F2005,2)</f>
        <v>64.44</v>
      </c>
      <c r="J2005" s="1795"/>
    </row>
    <row r="2006" spans="1:10" ht="24">
      <c r="A2006" s="1797" t="s">
        <v>2476</v>
      </c>
      <c r="B2006" s="1798" t="s">
        <v>7</v>
      </c>
      <c r="C2006" s="1798">
        <v>88267</v>
      </c>
      <c r="D2006" s="1799" t="s">
        <v>102</v>
      </c>
      <c r="E2006" s="1800" t="s">
        <v>411</v>
      </c>
      <c r="F2006" s="1807">
        <v>0.31619999999999998</v>
      </c>
      <c r="G2006" s="1801">
        <v>24.64</v>
      </c>
      <c r="H2006" s="1802">
        <f>IF(E2006="H",G2006,TRUNC(G2006*(1-$K$7),2))</f>
        <v>24.64</v>
      </c>
      <c r="I2006" s="1803">
        <f t="shared" si="284"/>
        <v>7.79</v>
      </c>
      <c r="J2006" s="1795"/>
    </row>
    <row r="2007" spans="1:10">
      <c r="A2007" s="1797" t="s">
        <v>2476</v>
      </c>
      <c r="B2007" s="1798" t="s">
        <v>7</v>
      </c>
      <c r="C2007" s="1798">
        <v>88316</v>
      </c>
      <c r="D2007" s="1799" t="s">
        <v>66</v>
      </c>
      <c r="E2007" s="1800" t="s">
        <v>411</v>
      </c>
      <c r="F2007" s="1807">
        <v>9.9599999999999994E-2</v>
      </c>
      <c r="G2007" s="1801">
        <v>19.45</v>
      </c>
      <c r="H2007" s="1802">
        <f>IF(E2007="H",G2007,TRUNC(G2007*(1-$K$7),2))</f>
        <v>19.45</v>
      </c>
      <c r="I2007" s="1803">
        <f t="shared" si="284"/>
        <v>1.93</v>
      </c>
      <c r="J2007" s="1795"/>
    </row>
    <row r="2008" spans="1:10">
      <c r="A2008" s="1943" t="s">
        <v>2477</v>
      </c>
      <c r="B2008" s="1944"/>
      <c r="C2008" s="1944"/>
      <c r="D2008" s="1944"/>
      <c r="E2008" s="1944"/>
      <c r="F2008" s="1944"/>
      <c r="G2008" s="1944"/>
      <c r="H2008" s="1945"/>
      <c r="I2008" s="1805">
        <f>SUM(I2005:I2007)</f>
        <v>74.160000000000011</v>
      </c>
      <c r="J2008" s="1795"/>
    </row>
    <row r="2009" spans="1:10">
      <c r="A2009" s="1929"/>
      <c r="B2009" s="1930"/>
      <c r="C2009" s="1930"/>
      <c r="D2009" s="1930"/>
      <c r="E2009" s="1930"/>
      <c r="F2009" s="1930"/>
      <c r="G2009" s="1930"/>
      <c r="H2009" s="1930"/>
      <c r="I2009" s="1931"/>
      <c r="J2009" s="1795"/>
    </row>
    <row r="2010" spans="1:10" ht="24" customHeight="1">
      <c r="A2010" s="1784" t="str">
        <f>'PLANILHA SEM DESON'!B304</f>
        <v>COMP 17</v>
      </c>
      <c r="B2010" s="1940" t="str">
        <f>VLOOKUP(A2010,'PLANILHA SEM DESON'!$B$17:$D$1700,2,FALSE)</f>
        <v>ESPELHO PARA BANHEIRO ESPESSURA 4 MM, INCLUINDO CHAPA COMPENSADA 10 MM, MOLDURA DEE ALUMÍNIO EM PERFIL 3/4", FIXADO COM PARAFUSOS CROMADOS.</v>
      </c>
      <c r="C2010" s="1941"/>
      <c r="D2010" s="1941"/>
      <c r="E2010" s="1941"/>
      <c r="F2010" s="1941"/>
      <c r="G2010" s="1941"/>
      <c r="H2010" s="1942"/>
      <c r="I2010" s="1785" t="str">
        <f>VLOOKUP(A2010,'PLANILHA SEM DESON'!$B$17:$D$1700,3,FALSE)</f>
        <v>m²</v>
      </c>
      <c r="J2010" s="1786">
        <f>I2018</f>
        <v>1092.47</v>
      </c>
    </row>
    <row r="2011" spans="1:10" ht="24">
      <c r="A2011" s="1788" t="s">
        <v>2470</v>
      </c>
      <c r="B2011" s="1789" t="s">
        <v>2471</v>
      </c>
      <c r="C2011" s="1790" t="s">
        <v>2468</v>
      </c>
      <c r="D2011" s="1791" t="s">
        <v>308</v>
      </c>
      <c r="E2011" s="1790" t="s">
        <v>202</v>
      </c>
      <c r="F2011" s="1792" t="s">
        <v>2472</v>
      </c>
      <c r="G2011" s="1790" t="s">
        <v>2473</v>
      </c>
      <c r="H2011" s="1793" t="s">
        <v>2474</v>
      </c>
      <c r="I2011" s="1794" t="s">
        <v>2475</v>
      </c>
      <c r="J2011" s="1795"/>
    </row>
    <row r="2012" spans="1:10" ht="24">
      <c r="A2012" s="1797"/>
      <c r="B2012" s="1798"/>
      <c r="C2012" s="1798">
        <v>88262</v>
      </c>
      <c r="D2012" s="1799" t="s">
        <v>441</v>
      </c>
      <c r="E2012" s="1800" t="s">
        <v>57</v>
      </c>
      <c r="F2012" s="1809">
        <v>2.5</v>
      </c>
      <c r="G2012" s="1806">
        <v>24.32</v>
      </c>
      <c r="H2012" s="1802">
        <f t="shared" ref="H2012:H2017" si="285">IF(E2012="H",G2012,TRUNC(G2012*(1-$K$7),2))</f>
        <v>24.32</v>
      </c>
      <c r="I2012" s="1803">
        <f t="shared" ref="I2012:I2017" si="286">TRUNC(H2012*F2012,2)</f>
        <v>60.8</v>
      </c>
      <c r="J2012" s="1795"/>
    </row>
    <row r="2013" spans="1:10" ht="24">
      <c r="A2013" s="1797"/>
      <c r="B2013" s="1798"/>
      <c r="C2013" s="1798">
        <v>88239</v>
      </c>
      <c r="D2013" s="1799" t="s">
        <v>454</v>
      </c>
      <c r="E2013" s="1800" t="s">
        <v>57</v>
      </c>
      <c r="F2013" s="1809">
        <v>2.5</v>
      </c>
      <c r="G2013" s="1806">
        <v>20.55</v>
      </c>
      <c r="H2013" s="1802">
        <f t="shared" si="285"/>
        <v>20.55</v>
      </c>
      <c r="I2013" s="1803">
        <f t="shared" si="286"/>
        <v>51.37</v>
      </c>
      <c r="J2013" s="1795"/>
    </row>
    <row r="2014" spans="1:10">
      <c r="A2014" s="1797"/>
      <c r="B2014" s="1798"/>
      <c r="C2014" s="1798">
        <v>584</v>
      </c>
      <c r="D2014" s="1799" t="s">
        <v>2278</v>
      </c>
      <c r="E2014" s="1800" t="s">
        <v>54</v>
      </c>
      <c r="F2014" s="1806">
        <v>3.5</v>
      </c>
      <c r="G2014" s="1806">
        <v>35</v>
      </c>
      <c r="H2014" s="1802">
        <f t="shared" si="285"/>
        <v>34.82</v>
      </c>
      <c r="I2014" s="1803">
        <f t="shared" si="286"/>
        <v>121.87</v>
      </c>
      <c r="J2014" s="1795"/>
    </row>
    <row r="2015" spans="1:10" ht="36">
      <c r="A2015" s="1797"/>
      <c r="B2015" s="1798"/>
      <c r="C2015" s="1798">
        <v>4358</v>
      </c>
      <c r="D2015" s="1799" t="s">
        <v>1502</v>
      </c>
      <c r="E2015" s="1800" t="s">
        <v>55</v>
      </c>
      <c r="F2015" s="1806">
        <v>2.5</v>
      </c>
      <c r="G2015" s="1806">
        <v>2.2599999999999998</v>
      </c>
      <c r="H2015" s="1802">
        <f t="shared" si="285"/>
        <v>2.2400000000000002</v>
      </c>
      <c r="I2015" s="1803">
        <f t="shared" si="286"/>
        <v>5.6</v>
      </c>
      <c r="J2015" s="1795"/>
    </row>
    <row r="2016" spans="1:10" ht="24">
      <c r="A2016" s="1797"/>
      <c r="B2016" s="1798"/>
      <c r="C2016" s="1798">
        <v>11134</v>
      </c>
      <c r="D2016" s="1799" t="s">
        <v>1501</v>
      </c>
      <c r="E2016" s="1800" t="s">
        <v>46</v>
      </c>
      <c r="F2016" s="1806">
        <v>1.1000000000000001</v>
      </c>
      <c r="G2016" s="1806">
        <v>110.43</v>
      </c>
      <c r="H2016" s="1802">
        <f t="shared" si="285"/>
        <v>109.86</v>
      </c>
      <c r="I2016" s="1803">
        <f t="shared" si="286"/>
        <v>120.84</v>
      </c>
      <c r="J2016" s="1795"/>
    </row>
    <row r="2017" spans="1:10">
      <c r="A2017" s="1797"/>
      <c r="B2017" s="1798"/>
      <c r="C2017" s="1798">
        <v>11186</v>
      </c>
      <c r="D2017" s="1799" t="s">
        <v>1500</v>
      </c>
      <c r="E2017" s="1800" t="s">
        <v>46</v>
      </c>
      <c r="F2017" s="1806">
        <v>1.1000000000000001</v>
      </c>
      <c r="G2017" s="1806">
        <v>668.87</v>
      </c>
      <c r="H2017" s="1802">
        <f t="shared" si="285"/>
        <v>665.45</v>
      </c>
      <c r="I2017" s="1803">
        <f t="shared" si="286"/>
        <v>731.99</v>
      </c>
      <c r="J2017" s="1795"/>
    </row>
    <row r="2018" spans="1:10">
      <c r="A2018" s="1943" t="s">
        <v>2477</v>
      </c>
      <c r="B2018" s="1944"/>
      <c r="C2018" s="1944"/>
      <c r="D2018" s="1944"/>
      <c r="E2018" s="1944"/>
      <c r="F2018" s="1944"/>
      <c r="G2018" s="1944"/>
      <c r="H2018" s="1945"/>
      <c r="I2018" s="1805">
        <f>SUM(I2012:I2017)</f>
        <v>1092.47</v>
      </c>
      <c r="J2018" s="1795"/>
    </row>
    <row r="2019" spans="1:10">
      <c r="A2019" s="1929"/>
      <c r="B2019" s="1930"/>
      <c r="C2019" s="1930"/>
      <c r="D2019" s="1930"/>
      <c r="E2019" s="1930"/>
      <c r="F2019" s="1930"/>
      <c r="G2019" s="1930"/>
      <c r="H2019" s="1930"/>
      <c r="I2019" s="1931"/>
      <c r="J2019" s="1795"/>
    </row>
    <row r="2020" spans="1:10">
      <c r="A2020" s="1784" t="str">
        <f>'PLANILHA SEM DESON'!B305</f>
        <v>COMP 18</v>
      </c>
      <c r="B2020" s="1940" t="str">
        <f>VLOOKUP(A2020,'PLANILHA SEM DESON'!$B$17:$D$1700,2,FALSE)</f>
        <v>PORTA PAPEL HIGIÊNICO - POLIPROPELENO</v>
      </c>
      <c r="C2020" s="1941"/>
      <c r="D2020" s="1941"/>
      <c r="E2020" s="1941"/>
      <c r="F2020" s="1941"/>
      <c r="G2020" s="1941"/>
      <c r="H2020" s="1942"/>
      <c r="I2020" s="1785" t="str">
        <f>VLOOKUP(A2020,'PLANILHA SEM DESON'!$B$17:$D$1700,3,FALSE)</f>
        <v xml:space="preserve">un </v>
      </c>
      <c r="J2020" s="1786">
        <f>I2025</f>
        <v>84.7</v>
      </c>
    </row>
    <row r="2021" spans="1:10" ht="24">
      <c r="A2021" s="1788" t="s">
        <v>2470</v>
      </c>
      <c r="B2021" s="1789" t="s">
        <v>2471</v>
      </c>
      <c r="C2021" s="1790" t="s">
        <v>2468</v>
      </c>
      <c r="D2021" s="1791" t="s">
        <v>308</v>
      </c>
      <c r="E2021" s="1790" t="s">
        <v>202</v>
      </c>
      <c r="F2021" s="1792" t="s">
        <v>2472</v>
      </c>
      <c r="G2021" s="1790" t="s">
        <v>2473</v>
      </c>
      <c r="H2021" s="1793" t="s">
        <v>2474</v>
      </c>
      <c r="I2021" s="1794" t="s">
        <v>2475</v>
      </c>
      <c r="J2021" s="1795"/>
    </row>
    <row r="2022" spans="1:10">
      <c r="A2022" s="1797"/>
      <c r="B2022" s="1798"/>
      <c r="C2022" s="1798">
        <v>88309</v>
      </c>
      <c r="D2022" s="1799" t="s">
        <v>103</v>
      </c>
      <c r="E2022" s="1800" t="s">
        <v>57</v>
      </c>
      <c r="F2022" s="1809">
        <v>0.4</v>
      </c>
      <c r="G2022" s="1807">
        <v>24.59</v>
      </c>
      <c r="H2022" s="1802">
        <f>IF(E2022="H",G2022,TRUNC(G2022*(1-$K$7),2))</f>
        <v>24.59</v>
      </c>
      <c r="I2022" s="1803">
        <f t="shared" ref="I2022:I2024" si="287">TRUNC(H2022*F2022,2)</f>
        <v>9.83</v>
      </c>
      <c r="J2022" s="1795"/>
    </row>
    <row r="2023" spans="1:10">
      <c r="A2023" s="1797"/>
      <c r="B2023" s="1798"/>
      <c r="C2023" s="1798">
        <v>88316</v>
      </c>
      <c r="D2023" s="1799" t="s">
        <v>66</v>
      </c>
      <c r="E2023" s="1800" t="s">
        <v>57</v>
      </c>
      <c r="F2023" s="1809">
        <v>0.4</v>
      </c>
      <c r="G2023" s="1808">
        <v>19.45</v>
      </c>
      <c r="H2023" s="1802">
        <f>IF(E2023="H",G2023,TRUNC(G2023*(1-$K$7),2))</f>
        <v>19.45</v>
      </c>
      <c r="I2023" s="1803">
        <f t="shared" si="287"/>
        <v>7.78</v>
      </c>
      <c r="J2023" s="1795"/>
    </row>
    <row r="2024" spans="1:10" ht="24">
      <c r="A2024" s="1797"/>
      <c r="B2024" s="1798"/>
      <c r="C2024" s="1798">
        <v>37400</v>
      </c>
      <c r="D2024" s="1799" t="s">
        <v>1498</v>
      </c>
      <c r="E2024" s="1800" t="s">
        <v>55</v>
      </c>
      <c r="F2024" s="1806">
        <v>1</v>
      </c>
      <c r="G2024" s="1806">
        <v>67.44</v>
      </c>
      <c r="H2024" s="1802">
        <f>IF(E2024="H",G2024,TRUNC(G2024*(1-$K$7),2))</f>
        <v>67.09</v>
      </c>
      <c r="I2024" s="1803">
        <f t="shared" si="287"/>
        <v>67.09</v>
      </c>
      <c r="J2024" s="1795"/>
    </row>
    <row r="2025" spans="1:10">
      <c r="A2025" s="1943" t="s">
        <v>2477</v>
      </c>
      <c r="B2025" s="1944"/>
      <c r="C2025" s="1944"/>
      <c r="D2025" s="1944"/>
      <c r="E2025" s="1944"/>
      <c r="F2025" s="1944"/>
      <c r="G2025" s="1944"/>
      <c r="H2025" s="1945"/>
      <c r="I2025" s="1805">
        <f>SUM(I2022:I2024)</f>
        <v>84.7</v>
      </c>
      <c r="J2025" s="1795"/>
    </row>
    <row r="2026" spans="1:10">
      <c r="A2026" s="1929"/>
      <c r="B2026" s="1930"/>
      <c r="C2026" s="1930"/>
      <c r="D2026" s="1930"/>
      <c r="E2026" s="1930"/>
      <c r="F2026" s="1930"/>
      <c r="G2026" s="1930"/>
      <c r="H2026" s="1930"/>
      <c r="I2026" s="1931"/>
      <c r="J2026" s="1795"/>
    </row>
    <row r="2027" spans="1:10">
      <c r="A2027" s="1784" t="str">
        <f>'PLANILHA SEM DESON'!B306</f>
        <v>COMP 19</v>
      </c>
      <c r="B2027" s="1940" t="str">
        <f>VLOOKUP(A2027,'PLANILHA SEM DESON'!$B$17:$D$1700,2,FALSE)</f>
        <v>PORTA PAPEL TOALHA - POLIPROPELENO</v>
      </c>
      <c r="C2027" s="1941"/>
      <c r="D2027" s="1941"/>
      <c r="E2027" s="1941"/>
      <c r="F2027" s="1941"/>
      <c r="G2027" s="1941"/>
      <c r="H2027" s="1942"/>
      <c r="I2027" s="1785" t="str">
        <f>VLOOKUP(A2027,'PLANILHA SEM DESON'!$B$17:$D$1700,3,FALSE)</f>
        <v xml:space="preserve">un </v>
      </c>
      <c r="J2027" s="1786">
        <f>I2032</f>
        <v>84.7</v>
      </c>
    </row>
    <row r="2028" spans="1:10" ht="24">
      <c r="A2028" s="1788" t="s">
        <v>2470</v>
      </c>
      <c r="B2028" s="1789" t="s">
        <v>2471</v>
      </c>
      <c r="C2028" s="1790" t="s">
        <v>2468</v>
      </c>
      <c r="D2028" s="1791" t="s">
        <v>308</v>
      </c>
      <c r="E2028" s="1790" t="s">
        <v>202</v>
      </c>
      <c r="F2028" s="1792" t="s">
        <v>2472</v>
      </c>
      <c r="G2028" s="1790" t="s">
        <v>2473</v>
      </c>
      <c r="H2028" s="1793" t="s">
        <v>2474</v>
      </c>
      <c r="I2028" s="1794" t="s">
        <v>2475</v>
      </c>
      <c r="J2028" s="1795"/>
    </row>
    <row r="2029" spans="1:10">
      <c r="A2029" s="1797"/>
      <c r="B2029" s="1798"/>
      <c r="C2029" s="1798">
        <v>88309</v>
      </c>
      <c r="D2029" s="1799" t="s">
        <v>103</v>
      </c>
      <c r="E2029" s="1800" t="s">
        <v>57</v>
      </c>
      <c r="F2029" s="1809">
        <v>0.4</v>
      </c>
      <c r="G2029" s="1807">
        <v>24.59</v>
      </c>
      <c r="H2029" s="1802">
        <f>IF(E2029="H",G2029,TRUNC(G2029*(1-$K$7),2))</f>
        <v>24.59</v>
      </c>
      <c r="I2029" s="1803">
        <f t="shared" ref="I2029:I2031" si="288">TRUNC(H2029*F2029,2)</f>
        <v>9.83</v>
      </c>
      <c r="J2029" s="1795"/>
    </row>
    <row r="2030" spans="1:10">
      <c r="A2030" s="1797"/>
      <c r="B2030" s="1798"/>
      <c r="C2030" s="1798">
        <v>88316</v>
      </c>
      <c r="D2030" s="1799" t="s">
        <v>66</v>
      </c>
      <c r="E2030" s="1800" t="s">
        <v>57</v>
      </c>
      <c r="F2030" s="1809">
        <v>0.4</v>
      </c>
      <c r="G2030" s="1808">
        <v>19.45</v>
      </c>
      <c r="H2030" s="1802">
        <f>IF(E2030="H",G2030,TRUNC(G2030*(1-$K$7),2))</f>
        <v>19.45</v>
      </c>
      <c r="I2030" s="1803">
        <f t="shared" si="288"/>
        <v>7.78</v>
      </c>
      <c r="J2030" s="1795"/>
    </row>
    <row r="2031" spans="1:10" ht="24">
      <c r="A2031" s="1797"/>
      <c r="B2031" s="1798"/>
      <c r="C2031" s="1798">
        <v>37401</v>
      </c>
      <c r="D2031" s="1799" t="s">
        <v>1499</v>
      </c>
      <c r="E2031" s="1800" t="s">
        <v>55</v>
      </c>
      <c r="F2031" s="1806">
        <v>1</v>
      </c>
      <c r="G2031" s="1806">
        <v>67.44</v>
      </c>
      <c r="H2031" s="1802">
        <f>IF(E2031="H",G2031,TRUNC(G2031*(1-$K$7),2))</f>
        <v>67.09</v>
      </c>
      <c r="I2031" s="1803">
        <f t="shared" si="288"/>
        <v>67.09</v>
      </c>
      <c r="J2031" s="1795"/>
    </row>
    <row r="2032" spans="1:10">
      <c r="A2032" s="1943" t="s">
        <v>2477</v>
      </c>
      <c r="B2032" s="1944"/>
      <c r="C2032" s="1944"/>
      <c r="D2032" s="1944"/>
      <c r="E2032" s="1944"/>
      <c r="F2032" s="1944"/>
      <c r="G2032" s="1944"/>
      <c r="H2032" s="1945"/>
      <c r="I2032" s="1805">
        <f>SUM(I2029:I2031)</f>
        <v>84.7</v>
      </c>
      <c r="J2032" s="1795"/>
    </row>
    <row r="2033" spans="1:10">
      <c r="A2033" s="1929"/>
      <c r="B2033" s="1930"/>
      <c r="C2033" s="1930"/>
      <c r="D2033" s="1930"/>
      <c r="E2033" s="1930"/>
      <c r="F2033" s="1930"/>
      <c r="G2033" s="1930"/>
      <c r="H2033" s="1930"/>
      <c r="I2033" s="1931"/>
      <c r="J2033" s="1795"/>
    </row>
    <row r="2034" spans="1:10" ht="23.25" customHeight="1">
      <c r="A2034" s="1784">
        <f>'PLANILHA SEM DESON'!B310</f>
        <v>89707</v>
      </c>
      <c r="B2034" s="1940" t="str">
        <f>VLOOKUP(A2034,'PLANILHA SEM DESON'!$B$17:$D$1700,2,FALSE)</f>
        <v>CAIXA SIFONADA, PVC, DN 100 X 100 X 50 MM, JUNTA ELÁSTICA, FORNECIDA E INSTALADA EM RAMAL DE DESCARGA OU EM RAMAL DE ESGOTO SANITÁRIO. AF_12/2014_P</v>
      </c>
      <c r="C2034" s="1941"/>
      <c r="D2034" s="1941"/>
      <c r="E2034" s="1941"/>
      <c r="F2034" s="1941"/>
      <c r="G2034" s="1941"/>
      <c r="H2034" s="1942"/>
      <c r="I2034" s="1785" t="str">
        <f>VLOOKUP(A2034,'PLANILHA SEM DESON'!$B$17:$D$1700,3,FALSE)</f>
        <v xml:space="preserve">un </v>
      </c>
      <c r="J2034" s="1786">
        <f>I2042</f>
        <v>50.470000000000006</v>
      </c>
    </row>
    <row r="2035" spans="1:10" ht="24">
      <c r="A2035" s="1788" t="s">
        <v>2470</v>
      </c>
      <c r="B2035" s="1789" t="s">
        <v>2471</v>
      </c>
      <c r="C2035" s="1790" t="s">
        <v>2468</v>
      </c>
      <c r="D2035" s="1791" t="s">
        <v>308</v>
      </c>
      <c r="E2035" s="1790" t="s">
        <v>202</v>
      </c>
      <c r="F2035" s="1792" t="s">
        <v>2472</v>
      </c>
      <c r="G2035" s="1790" t="s">
        <v>2473</v>
      </c>
      <c r="H2035" s="1793" t="s">
        <v>2474</v>
      </c>
      <c r="I2035" s="1794" t="s">
        <v>2475</v>
      </c>
      <c r="J2035" s="1795"/>
    </row>
    <row r="2036" spans="1:10">
      <c r="A2036" s="1797" t="s">
        <v>2476</v>
      </c>
      <c r="B2036" s="1798" t="s">
        <v>2479</v>
      </c>
      <c r="C2036" s="1798">
        <v>122</v>
      </c>
      <c r="D2036" s="1799" t="s">
        <v>2732</v>
      </c>
      <c r="E2036" s="1800" t="s">
        <v>2501</v>
      </c>
      <c r="F2036" s="1807">
        <v>2.92E-2</v>
      </c>
      <c r="G2036" s="1801">
        <v>76.86</v>
      </c>
      <c r="H2036" s="1802">
        <f t="shared" ref="H2036:H2041" si="289">IF(E2036="H",G2036,TRUNC(G2036*(1-$K$7),2))</f>
        <v>76.459999999999994</v>
      </c>
      <c r="I2036" s="1803">
        <f t="shared" ref="I2036:I2041" si="290">TRUNC(H2036*F2036,2)</f>
        <v>2.23</v>
      </c>
      <c r="J2036" s="1795"/>
    </row>
    <row r="2037" spans="1:10" ht="24">
      <c r="A2037" s="1797" t="s">
        <v>2476</v>
      </c>
      <c r="B2037" s="1798" t="s">
        <v>2479</v>
      </c>
      <c r="C2037" s="1798">
        <v>5103</v>
      </c>
      <c r="D2037" s="1799" t="s">
        <v>2766</v>
      </c>
      <c r="E2037" s="1800" t="s">
        <v>2501</v>
      </c>
      <c r="F2037" s="1807">
        <v>1</v>
      </c>
      <c r="G2037" s="1801">
        <v>26.69</v>
      </c>
      <c r="H2037" s="1802">
        <f t="shared" si="289"/>
        <v>26.55</v>
      </c>
      <c r="I2037" s="1803">
        <f t="shared" si="290"/>
        <v>26.55</v>
      </c>
      <c r="J2037" s="1795"/>
    </row>
    <row r="2038" spans="1:10" ht="24">
      <c r="A2038" s="1797" t="s">
        <v>2476</v>
      </c>
      <c r="B2038" s="1798" t="s">
        <v>2479</v>
      </c>
      <c r="C2038" s="1798">
        <v>20083</v>
      </c>
      <c r="D2038" s="1799" t="s">
        <v>2606</v>
      </c>
      <c r="E2038" s="1800" t="s">
        <v>2501</v>
      </c>
      <c r="F2038" s="1807">
        <v>4.3999999999999997E-2</v>
      </c>
      <c r="G2038" s="1801">
        <v>87.08</v>
      </c>
      <c r="H2038" s="1802">
        <f t="shared" si="289"/>
        <v>86.63</v>
      </c>
      <c r="I2038" s="1803">
        <f t="shared" si="290"/>
        <v>3.81</v>
      </c>
      <c r="J2038" s="1795"/>
    </row>
    <row r="2039" spans="1:10">
      <c r="A2039" s="1797" t="s">
        <v>2476</v>
      </c>
      <c r="B2039" s="1798" t="s">
        <v>2479</v>
      </c>
      <c r="C2039" s="1798">
        <v>38383</v>
      </c>
      <c r="D2039" s="1799" t="s">
        <v>2607</v>
      </c>
      <c r="E2039" s="1800" t="s">
        <v>2501</v>
      </c>
      <c r="F2039" s="1807">
        <v>1.54E-2</v>
      </c>
      <c r="G2039" s="1801">
        <v>2.56</v>
      </c>
      <c r="H2039" s="1802">
        <f t="shared" si="289"/>
        <v>2.54</v>
      </c>
      <c r="I2039" s="1803">
        <f t="shared" si="290"/>
        <v>0.03</v>
      </c>
      <c r="J2039" s="1795"/>
    </row>
    <row r="2040" spans="1:10" ht="24">
      <c r="A2040" s="1797" t="s">
        <v>2476</v>
      </c>
      <c r="B2040" s="1798" t="s">
        <v>7</v>
      </c>
      <c r="C2040" s="1798">
        <v>88248</v>
      </c>
      <c r="D2040" s="1799" t="s">
        <v>101</v>
      </c>
      <c r="E2040" s="1800" t="s">
        <v>411</v>
      </c>
      <c r="F2040" s="1807">
        <v>0.3987</v>
      </c>
      <c r="G2040" s="1801">
        <v>20.16</v>
      </c>
      <c r="H2040" s="1802">
        <f t="shared" si="289"/>
        <v>20.16</v>
      </c>
      <c r="I2040" s="1803">
        <f t="shared" si="290"/>
        <v>8.0299999999999994</v>
      </c>
      <c r="J2040" s="1795"/>
    </row>
    <row r="2041" spans="1:10" ht="24">
      <c r="A2041" s="1797" t="s">
        <v>2476</v>
      </c>
      <c r="B2041" s="1798" t="s">
        <v>7</v>
      </c>
      <c r="C2041" s="1798">
        <v>88267</v>
      </c>
      <c r="D2041" s="1799" t="s">
        <v>102</v>
      </c>
      <c r="E2041" s="1800" t="s">
        <v>411</v>
      </c>
      <c r="F2041" s="1807">
        <v>0.3987</v>
      </c>
      <c r="G2041" s="1801">
        <v>24.64</v>
      </c>
      <c r="H2041" s="1802">
        <f t="shared" si="289"/>
        <v>24.64</v>
      </c>
      <c r="I2041" s="1803">
        <f t="shared" si="290"/>
        <v>9.82</v>
      </c>
      <c r="J2041" s="1795"/>
    </row>
    <row r="2042" spans="1:10">
      <c r="A2042" s="1943" t="s">
        <v>2477</v>
      </c>
      <c r="B2042" s="1944"/>
      <c r="C2042" s="1944"/>
      <c r="D2042" s="1944"/>
      <c r="E2042" s="1944"/>
      <c r="F2042" s="1944"/>
      <c r="G2042" s="1944"/>
      <c r="H2042" s="1945"/>
      <c r="I2042" s="1805">
        <f>SUM(I2036:I2041)</f>
        <v>50.470000000000006</v>
      </c>
      <c r="J2042" s="1795"/>
    </row>
    <row r="2043" spans="1:10">
      <c r="A2043" s="1929"/>
      <c r="B2043" s="1930"/>
      <c r="C2043" s="1930"/>
      <c r="D2043" s="1930"/>
      <c r="E2043" s="1930"/>
      <c r="F2043" s="1930"/>
      <c r="G2043" s="1930"/>
      <c r="H2043" s="1930"/>
      <c r="I2043" s="1931"/>
      <c r="J2043" s="1795"/>
    </row>
    <row r="2044" spans="1:10" ht="22.5" customHeight="1">
      <c r="A2044" s="1784" t="str">
        <f>'PLANILHA SEM DESON'!B311</f>
        <v>COMP HIDR 14</v>
      </c>
      <c r="B2044" s="1940" t="str">
        <f>VLOOKUP(A2044,'PLANILHA SEM DESON'!$B$17:$D$1700,2,FALSE)</f>
        <v>CAIXA SIFONADA, PVC, DN 150 X 150 X 50 MM, FORNECIDA E INSTALADA EM RAMAL DE DESCARGA OU EM RAMAL DE ESGOTO SANITÁRIO. AF_12/2014</v>
      </c>
      <c r="C2044" s="1941"/>
      <c r="D2044" s="1941"/>
      <c r="E2044" s="1941"/>
      <c r="F2044" s="1941"/>
      <c r="G2044" s="1941"/>
      <c r="H2044" s="1942"/>
      <c r="I2044" s="1785" t="str">
        <f>VLOOKUP(A2044,'PLANILHA SEM DESON'!$B$17:$D$1700,3,FALSE)</f>
        <v xml:space="preserve">un </v>
      </c>
      <c r="J2044" s="1786">
        <f>I2054</f>
        <v>66.709999999999994</v>
      </c>
    </row>
    <row r="2045" spans="1:10" ht="24">
      <c r="A2045" s="1788" t="s">
        <v>2470</v>
      </c>
      <c r="B2045" s="1789" t="s">
        <v>2471</v>
      </c>
      <c r="C2045" s="1790" t="s">
        <v>2468</v>
      </c>
      <c r="D2045" s="1791" t="s">
        <v>308</v>
      </c>
      <c r="E2045" s="1790" t="s">
        <v>202</v>
      </c>
      <c r="F2045" s="1792" t="s">
        <v>2472</v>
      </c>
      <c r="G2045" s="1790" t="s">
        <v>2473</v>
      </c>
      <c r="H2045" s="1793" t="s">
        <v>2474</v>
      </c>
      <c r="I2045" s="1794" t="s">
        <v>2475</v>
      </c>
      <c r="J2045" s="1795"/>
    </row>
    <row r="2046" spans="1:10" ht="24">
      <c r="A2046" s="1797"/>
      <c r="B2046" s="1798"/>
      <c r="C2046" s="1798" t="s">
        <v>461</v>
      </c>
      <c r="D2046" s="1799" t="s">
        <v>101</v>
      </c>
      <c r="E2046" s="1800" t="s">
        <v>57</v>
      </c>
      <c r="F2046" s="1817">
        <v>0.25</v>
      </c>
      <c r="G2046" s="1808">
        <v>20.16</v>
      </c>
      <c r="H2046" s="1802">
        <f t="shared" ref="H2046:H2053" si="291">IF(E2046="H",G2046,TRUNC(G2046*(1-$K$7),2))</f>
        <v>20.16</v>
      </c>
      <c r="I2046" s="1803">
        <f t="shared" ref="I2046:I2053" si="292">TRUNC(H2046*F2046,2)</f>
        <v>5.04</v>
      </c>
      <c r="J2046" s="1795"/>
    </row>
    <row r="2047" spans="1:10" ht="24">
      <c r="A2047" s="1797"/>
      <c r="B2047" s="1798"/>
      <c r="C2047" s="1798" t="s">
        <v>462</v>
      </c>
      <c r="D2047" s="1799" t="s">
        <v>102</v>
      </c>
      <c r="E2047" s="1800" t="s">
        <v>57</v>
      </c>
      <c r="F2047" s="1817">
        <v>0.25</v>
      </c>
      <c r="G2047" s="1808">
        <v>24.64</v>
      </c>
      <c r="H2047" s="1802">
        <f t="shared" si="291"/>
        <v>24.64</v>
      </c>
      <c r="I2047" s="1803">
        <f t="shared" si="292"/>
        <v>6.16</v>
      </c>
      <c r="J2047" s="1795"/>
    </row>
    <row r="2048" spans="1:10">
      <c r="A2048" s="1797"/>
      <c r="B2048" s="1798"/>
      <c r="C2048" s="1819">
        <v>122</v>
      </c>
      <c r="D2048" s="1799" t="s">
        <v>125</v>
      </c>
      <c r="E2048" s="1800" t="s">
        <v>55</v>
      </c>
      <c r="F2048" s="1814">
        <v>1.4800000000000001E-2</v>
      </c>
      <c r="G2048" s="1806">
        <v>76.86</v>
      </c>
      <c r="H2048" s="1802">
        <f t="shared" si="291"/>
        <v>76.459999999999994</v>
      </c>
      <c r="I2048" s="1803">
        <f t="shared" si="292"/>
        <v>1.1299999999999999</v>
      </c>
      <c r="J2048" s="1795"/>
    </row>
    <row r="2049" spans="1:10" ht="24">
      <c r="A2049" s="1797"/>
      <c r="B2049" s="1798"/>
      <c r="C2049" s="1819">
        <v>296</v>
      </c>
      <c r="D2049" s="1799" t="s">
        <v>487</v>
      </c>
      <c r="E2049" s="1800" t="s">
        <v>55</v>
      </c>
      <c r="F2049" s="1817">
        <v>1</v>
      </c>
      <c r="G2049" s="1806">
        <v>1.98</v>
      </c>
      <c r="H2049" s="1802">
        <f t="shared" si="291"/>
        <v>1.96</v>
      </c>
      <c r="I2049" s="1803">
        <f t="shared" ref="I2049" si="293">TRUNC(H2049*F2049,2)</f>
        <v>1.96</v>
      </c>
      <c r="J2049" s="1795"/>
    </row>
    <row r="2050" spans="1:10" ht="24">
      <c r="A2050" s="1797"/>
      <c r="B2050" s="1798"/>
      <c r="C2050" s="1798">
        <v>11712</v>
      </c>
      <c r="D2050" s="1799" t="s">
        <v>1971</v>
      </c>
      <c r="E2050" s="1800" t="s">
        <v>55</v>
      </c>
      <c r="F2050" s="1817">
        <v>1</v>
      </c>
      <c r="G2050" s="1806">
        <v>49.95</v>
      </c>
      <c r="H2050" s="1802">
        <f t="shared" si="291"/>
        <v>49.69</v>
      </c>
      <c r="I2050" s="1803">
        <f t="shared" si="292"/>
        <v>49.69</v>
      </c>
      <c r="J2050" s="1795"/>
    </row>
    <row r="2051" spans="1:10" ht="36">
      <c r="A2051" s="1797"/>
      <c r="B2051" s="1798"/>
      <c r="C2051" s="1798">
        <v>20078</v>
      </c>
      <c r="D2051" s="1799" t="s">
        <v>1972</v>
      </c>
      <c r="E2051" s="1800" t="s">
        <v>55</v>
      </c>
      <c r="F2051" s="1817">
        <v>0.02</v>
      </c>
      <c r="G2051" s="1806">
        <v>31.72</v>
      </c>
      <c r="H2051" s="1802">
        <f t="shared" si="291"/>
        <v>31.55</v>
      </c>
      <c r="I2051" s="1803">
        <f t="shared" si="292"/>
        <v>0.63</v>
      </c>
      <c r="J2051" s="1795"/>
    </row>
    <row r="2052" spans="1:10" ht="24">
      <c r="A2052" s="1797"/>
      <c r="B2052" s="1798"/>
      <c r="C2052" s="1798">
        <v>20083</v>
      </c>
      <c r="D2052" s="1799" t="s">
        <v>126</v>
      </c>
      <c r="E2052" s="1800" t="s">
        <v>55</v>
      </c>
      <c r="F2052" s="1814">
        <v>2.2499999999999999E-2</v>
      </c>
      <c r="G2052" s="1806">
        <v>87.08</v>
      </c>
      <c r="H2052" s="1802">
        <f t="shared" si="291"/>
        <v>86.63</v>
      </c>
      <c r="I2052" s="1803">
        <f t="shared" si="292"/>
        <v>1.94</v>
      </c>
      <c r="J2052" s="1795"/>
    </row>
    <row r="2053" spans="1:10">
      <c r="A2053" s="1797"/>
      <c r="B2053" s="1798"/>
      <c r="C2053" s="1798">
        <v>38383</v>
      </c>
      <c r="D2053" s="1799" t="s">
        <v>171</v>
      </c>
      <c r="E2053" s="1800" t="s">
        <v>55</v>
      </c>
      <c r="F2053" s="1817">
        <v>6.4000000000000001E-2</v>
      </c>
      <c r="G2053" s="1808">
        <v>2.5299999999999998</v>
      </c>
      <c r="H2053" s="1802">
        <f t="shared" si="291"/>
        <v>2.5099999999999998</v>
      </c>
      <c r="I2053" s="1803">
        <f t="shared" si="292"/>
        <v>0.16</v>
      </c>
      <c r="J2053" s="1795"/>
    </row>
    <row r="2054" spans="1:10">
      <c r="A2054" s="1943" t="s">
        <v>2477</v>
      </c>
      <c r="B2054" s="1944"/>
      <c r="C2054" s="1944"/>
      <c r="D2054" s="1944"/>
      <c r="E2054" s="1944"/>
      <c r="F2054" s="1944"/>
      <c r="G2054" s="1944"/>
      <c r="H2054" s="1945"/>
      <c r="I2054" s="1805">
        <f>SUM(I2046:I2053)</f>
        <v>66.709999999999994</v>
      </c>
      <c r="J2054" s="1795"/>
    </row>
    <row r="2055" spans="1:10">
      <c r="A2055" s="1929"/>
      <c r="B2055" s="1930"/>
      <c r="C2055" s="1930"/>
      <c r="D2055" s="1930"/>
      <c r="E2055" s="1930"/>
      <c r="F2055" s="1930"/>
      <c r="G2055" s="1930"/>
      <c r="H2055" s="1930"/>
      <c r="I2055" s="1931"/>
      <c r="J2055" s="1795"/>
    </row>
    <row r="2056" spans="1:10" ht="26.25" customHeight="1">
      <c r="A2056" s="1784">
        <f>'PLANILHA SEM DESON'!B312</f>
        <v>89732</v>
      </c>
      <c r="B2056" s="1940" t="str">
        <f>VLOOKUP(A2056,'PLANILHA SEM DESON'!$B$17:$D$1700,2,FALSE)</f>
        <v>JOELHO 45 GRAUS, PVC, SERIE NORMAL, ESGOTO PREDIAL, DN 50 MM, JUNTA ELÁSTICA, FORNECIDO E INSTALADO EM RAMAL DE DESCARGA OU RAMAL DE ESGOTO SANITÁRIO. AF_12/2014</v>
      </c>
      <c r="C2056" s="1941"/>
      <c r="D2056" s="1941"/>
      <c r="E2056" s="1941"/>
      <c r="F2056" s="1941"/>
      <c r="G2056" s="1941"/>
      <c r="H2056" s="1942"/>
      <c r="I2056" s="1785" t="str">
        <f>VLOOKUP(A2056,'PLANILHA SEM DESON'!$B$17:$D$1700,3,FALSE)</f>
        <v xml:space="preserve">un </v>
      </c>
      <c r="J2056" s="1786">
        <f>I2063</f>
        <v>16.09</v>
      </c>
    </row>
    <row r="2057" spans="1:10" ht="24">
      <c r="A2057" s="1788" t="s">
        <v>2470</v>
      </c>
      <c r="B2057" s="1789" t="s">
        <v>2471</v>
      </c>
      <c r="C2057" s="1790" t="s">
        <v>2468</v>
      </c>
      <c r="D2057" s="1791" t="s">
        <v>308</v>
      </c>
      <c r="E2057" s="1790" t="s">
        <v>202</v>
      </c>
      <c r="F2057" s="1792" t="s">
        <v>2472</v>
      </c>
      <c r="G2057" s="1790" t="s">
        <v>2473</v>
      </c>
      <c r="H2057" s="1793" t="s">
        <v>2474</v>
      </c>
      <c r="I2057" s="1794" t="s">
        <v>2475</v>
      </c>
      <c r="J2057" s="1795"/>
    </row>
    <row r="2058" spans="1:10" ht="24">
      <c r="A2058" s="1797" t="s">
        <v>2476</v>
      </c>
      <c r="B2058" s="1798" t="s">
        <v>2479</v>
      </c>
      <c r="C2058" s="1798">
        <v>296</v>
      </c>
      <c r="D2058" s="1799" t="s">
        <v>2767</v>
      </c>
      <c r="E2058" s="1800" t="s">
        <v>2501</v>
      </c>
      <c r="F2058" s="1807">
        <v>2</v>
      </c>
      <c r="G2058" s="1801">
        <v>1.98</v>
      </c>
      <c r="H2058" s="1802">
        <f>IF(E2058="H",G2058,TRUNC(G2058*(1-$K$7),2))</f>
        <v>1.96</v>
      </c>
      <c r="I2058" s="1803">
        <f t="shared" ref="I2058:I2062" si="294">TRUNC(H2058*F2058,2)</f>
        <v>3.92</v>
      </c>
      <c r="J2058" s="1795"/>
    </row>
    <row r="2059" spans="1:10" ht="24">
      <c r="A2059" s="1797" t="s">
        <v>2476</v>
      </c>
      <c r="B2059" s="1798" t="s">
        <v>2479</v>
      </c>
      <c r="C2059" s="1798">
        <v>3518</v>
      </c>
      <c r="D2059" s="1799" t="s">
        <v>2768</v>
      </c>
      <c r="E2059" s="1800" t="s">
        <v>2501</v>
      </c>
      <c r="F2059" s="1807">
        <v>1</v>
      </c>
      <c r="G2059" s="1801">
        <v>4.46</v>
      </c>
      <c r="H2059" s="1802">
        <f>IF(E2059="H",G2059,TRUNC(G2059*(1-$K$7),2))</f>
        <v>4.43</v>
      </c>
      <c r="I2059" s="1803">
        <f t="shared" si="294"/>
        <v>4.43</v>
      </c>
      <c r="J2059" s="1795"/>
    </row>
    <row r="2060" spans="1:10" ht="36">
      <c r="A2060" s="1797" t="s">
        <v>2476</v>
      </c>
      <c r="B2060" s="1798" t="s">
        <v>2479</v>
      </c>
      <c r="C2060" s="1798">
        <v>20078</v>
      </c>
      <c r="D2060" s="1799" t="s">
        <v>2769</v>
      </c>
      <c r="E2060" s="1800" t="s">
        <v>2501</v>
      </c>
      <c r="F2060" s="1807">
        <v>0.05</v>
      </c>
      <c r="G2060" s="1801">
        <v>31.72</v>
      </c>
      <c r="H2060" s="1802">
        <f>IF(E2060="H",G2060,TRUNC(G2060*(1-$K$7),2))</f>
        <v>31.55</v>
      </c>
      <c r="I2060" s="1803">
        <f t="shared" si="294"/>
        <v>1.57</v>
      </c>
      <c r="J2060" s="1795"/>
    </row>
    <row r="2061" spans="1:10" ht="24">
      <c r="A2061" s="1797" t="s">
        <v>2476</v>
      </c>
      <c r="B2061" s="1798" t="s">
        <v>7</v>
      </c>
      <c r="C2061" s="1798">
        <v>88248</v>
      </c>
      <c r="D2061" s="1799" t="s">
        <v>101</v>
      </c>
      <c r="E2061" s="1800" t="s">
        <v>411</v>
      </c>
      <c r="F2061" s="1807">
        <v>0.13789999999999999</v>
      </c>
      <c r="G2061" s="1801">
        <v>20.16</v>
      </c>
      <c r="H2061" s="1802">
        <f>IF(E2061="H",G2061,TRUNC(G2061*(1-$K$7),2))</f>
        <v>20.16</v>
      </c>
      <c r="I2061" s="1803">
        <f t="shared" si="294"/>
        <v>2.78</v>
      </c>
      <c r="J2061" s="1795"/>
    </row>
    <row r="2062" spans="1:10" ht="24">
      <c r="A2062" s="1797" t="s">
        <v>2476</v>
      </c>
      <c r="B2062" s="1798" t="s">
        <v>7</v>
      </c>
      <c r="C2062" s="1798">
        <v>88267</v>
      </c>
      <c r="D2062" s="1799" t="s">
        <v>102</v>
      </c>
      <c r="E2062" s="1800" t="s">
        <v>411</v>
      </c>
      <c r="F2062" s="1807">
        <v>0.13789999999999999</v>
      </c>
      <c r="G2062" s="1801">
        <v>24.64</v>
      </c>
      <c r="H2062" s="1802">
        <f>IF(E2062="H",G2062,TRUNC(G2062*(1-$K$7),2))</f>
        <v>24.64</v>
      </c>
      <c r="I2062" s="1803">
        <f t="shared" si="294"/>
        <v>3.39</v>
      </c>
      <c r="J2062" s="1795"/>
    </row>
    <row r="2063" spans="1:10">
      <c r="A2063" s="1943" t="s">
        <v>2477</v>
      </c>
      <c r="B2063" s="1944"/>
      <c r="C2063" s="1944"/>
      <c r="D2063" s="1944"/>
      <c r="E2063" s="1944"/>
      <c r="F2063" s="1944"/>
      <c r="G2063" s="1944"/>
      <c r="H2063" s="1945"/>
      <c r="I2063" s="1805">
        <f>SUM(I2058:I2062)</f>
        <v>16.09</v>
      </c>
      <c r="J2063" s="1795"/>
    </row>
    <row r="2064" spans="1:10">
      <c r="A2064" s="1929"/>
      <c r="B2064" s="1930"/>
      <c r="C2064" s="1930"/>
      <c r="D2064" s="1930"/>
      <c r="E2064" s="1930"/>
      <c r="F2064" s="1930"/>
      <c r="G2064" s="1930"/>
      <c r="H2064" s="1930"/>
      <c r="I2064" s="1931"/>
      <c r="J2064" s="1795"/>
    </row>
    <row r="2065" spans="1:10" ht="22.5" customHeight="1">
      <c r="A2065" s="1784">
        <f>'PLANILHA SEM DESON'!B313</f>
        <v>89746</v>
      </c>
      <c r="B2065" s="1940" t="str">
        <f>VLOOKUP(A2065,'PLANILHA SEM DESON'!$B$17:$D$1700,2,FALSE)</f>
        <v>JOELHO 45 GRAUS, PVC, SERIE NORMAL, ESGOTO PREDIAL, DN 100 MM, JUNTA ELÁSTICA, FORNECIDO E INSTALADO EM RAMAL DE DESCARGA OU RAMAL DE ESGOTO SANITÁRIO. AF_12/2014</v>
      </c>
      <c r="C2065" s="1941"/>
      <c r="D2065" s="1941"/>
      <c r="E2065" s="1941"/>
      <c r="F2065" s="1941"/>
      <c r="G2065" s="1941"/>
      <c r="H2065" s="1942"/>
      <c r="I2065" s="1785" t="str">
        <f>VLOOKUP(A2065,'PLANILHA SEM DESON'!$B$17:$D$1700,3,FALSE)</f>
        <v xml:space="preserve">un </v>
      </c>
      <c r="J2065" s="1786">
        <f>I2072</f>
        <v>30.9</v>
      </c>
    </row>
    <row r="2066" spans="1:10" ht="24">
      <c r="A2066" s="1788" t="s">
        <v>2470</v>
      </c>
      <c r="B2066" s="1789" t="s">
        <v>2471</v>
      </c>
      <c r="C2066" s="1790" t="s">
        <v>2468</v>
      </c>
      <c r="D2066" s="1791" t="s">
        <v>308</v>
      </c>
      <c r="E2066" s="1790" t="s">
        <v>202</v>
      </c>
      <c r="F2066" s="1792" t="s">
        <v>2472</v>
      </c>
      <c r="G2066" s="1790" t="s">
        <v>2473</v>
      </c>
      <c r="H2066" s="1793" t="s">
        <v>2474</v>
      </c>
      <c r="I2066" s="1794" t="s">
        <v>2475</v>
      </c>
      <c r="J2066" s="1795"/>
    </row>
    <row r="2067" spans="1:10" ht="24">
      <c r="A2067" s="1797" t="s">
        <v>2476</v>
      </c>
      <c r="B2067" s="1798" t="s">
        <v>2479</v>
      </c>
      <c r="C2067" s="1798">
        <v>301</v>
      </c>
      <c r="D2067" s="1799" t="s">
        <v>2770</v>
      </c>
      <c r="E2067" s="1800" t="s">
        <v>2501</v>
      </c>
      <c r="F2067" s="1807">
        <v>2</v>
      </c>
      <c r="G2067" s="1801">
        <v>3.5</v>
      </c>
      <c r="H2067" s="1802">
        <f>IF(E2067="H",G2067,TRUNC(G2067*(1-$K$7),2))</f>
        <v>3.48</v>
      </c>
      <c r="I2067" s="1803">
        <f t="shared" ref="I2067:I2071" si="295">TRUNC(H2067*F2067,2)</f>
        <v>6.96</v>
      </c>
      <c r="J2067" s="1795"/>
    </row>
    <row r="2068" spans="1:10" ht="24">
      <c r="A2068" s="1797" t="s">
        <v>2476</v>
      </c>
      <c r="B2068" s="1798" t="s">
        <v>2479</v>
      </c>
      <c r="C2068" s="1798">
        <v>3528</v>
      </c>
      <c r="D2068" s="1799" t="s">
        <v>2771</v>
      </c>
      <c r="E2068" s="1800" t="s">
        <v>2501</v>
      </c>
      <c r="F2068" s="1807">
        <v>1</v>
      </c>
      <c r="G2068" s="1801">
        <v>11.76</v>
      </c>
      <c r="H2068" s="1802">
        <f>IF(E2068="H",G2068,TRUNC(G2068*(1-$K$7),2))</f>
        <v>11.7</v>
      </c>
      <c r="I2068" s="1803">
        <f t="shared" si="295"/>
        <v>11.7</v>
      </c>
      <c r="J2068" s="1795"/>
    </row>
    <row r="2069" spans="1:10" ht="36">
      <c r="A2069" s="1797" t="s">
        <v>2476</v>
      </c>
      <c r="B2069" s="1798" t="s">
        <v>2479</v>
      </c>
      <c r="C2069" s="1798">
        <v>20078</v>
      </c>
      <c r="D2069" s="1799" t="s">
        <v>2769</v>
      </c>
      <c r="E2069" s="1800" t="s">
        <v>2501</v>
      </c>
      <c r="F2069" s="1807">
        <v>0.115</v>
      </c>
      <c r="G2069" s="1801">
        <v>31.72</v>
      </c>
      <c r="H2069" s="1802">
        <f>IF(E2069="H",G2069,TRUNC(G2069*(1-$K$7),2))</f>
        <v>31.55</v>
      </c>
      <c r="I2069" s="1803">
        <f t="shared" si="295"/>
        <v>3.62</v>
      </c>
      <c r="J2069" s="1795"/>
    </row>
    <row r="2070" spans="1:10" ht="24">
      <c r="A2070" s="1797" t="s">
        <v>2476</v>
      </c>
      <c r="B2070" s="1798" t="s">
        <v>7</v>
      </c>
      <c r="C2070" s="1798">
        <v>88248</v>
      </c>
      <c r="D2070" s="1799" t="s">
        <v>101</v>
      </c>
      <c r="E2070" s="1800" t="s">
        <v>411</v>
      </c>
      <c r="F2070" s="1807">
        <v>0.19259999999999999</v>
      </c>
      <c r="G2070" s="1801">
        <v>20.16</v>
      </c>
      <c r="H2070" s="1802">
        <f>IF(E2070="H",G2070,TRUNC(G2070*(1-$K$7),2))</f>
        <v>20.16</v>
      </c>
      <c r="I2070" s="1803">
        <f t="shared" si="295"/>
        <v>3.88</v>
      </c>
      <c r="J2070" s="1795"/>
    </row>
    <row r="2071" spans="1:10" ht="24">
      <c r="A2071" s="1797" t="s">
        <v>2476</v>
      </c>
      <c r="B2071" s="1798" t="s">
        <v>7</v>
      </c>
      <c r="C2071" s="1798">
        <v>88267</v>
      </c>
      <c r="D2071" s="1799" t="s">
        <v>102</v>
      </c>
      <c r="E2071" s="1800" t="s">
        <v>411</v>
      </c>
      <c r="F2071" s="1807">
        <v>0.19259999999999999</v>
      </c>
      <c r="G2071" s="1801">
        <v>24.64</v>
      </c>
      <c r="H2071" s="1802">
        <f>IF(E2071="H",G2071,TRUNC(G2071*(1-$K$7),2))</f>
        <v>24.64</v>
      </c>
      <c r="I2071" s="1803">
        <f t="shared" si="295"/>
        <v>4.74</v>
      </c>
      <c r="J2071" s="1795"/>
    </row>
    <row r="2072" spans="1:10">
      <c r="A2072" s="1943" t="s">
        <v>2477</v>
      </c>
      <c r="B2072" s="1944"/>
      <c r="C2072" s="1944"/>
      <c r="D2072" s="1944"/>
      <c r="E2072" s="1944"/>
      <c r="F2072" s="1944"/>
      <c r="G2072" s="1944"/>
      <c r="H2072" s="1945"/>
      <c r="I2072" s="1805">
        <f>SUM(I2067:I2071)</f>
        <v>30.9</v>
      </c>
      <c r="J2072" s="1795"/>
    </row>
    <row r="2073" spans="1:10">
      <c r="A2073" s="1929"/>
      <c r="B2073" s="1930"/>
      <c r="C2073" s="1930"/>
      <c r="D2073" s="1930"/>
      <c r="E2073" s="1930"/>
      <c r="F2073" s="1930"/>
      <c r="G2073" s="1930"/>
      <c r="H2073" s="1930"/>
      <c r="I2073" s="1931"/>
      <c r="J2073" s="1795"/>
    </row>
    <row r="2074" spans="1:10" ht="27" customHeight="1">
      <c r="A2074" s="1784">
        <f>'PLANILHA SEM DESON'!B314</f>
        <v>89737</v>
      </c>
      <c r="B2074" s="1940" t="str">
        <f>VLOOKUP(A2074,'PLANILHA SEM DESON'!$B$17:$D$1700,2,FALSE)</f>
        <v>JOELHO 90 GRAUS, PVC, SERIE NORMAL, ESGOTO PREDIAL, DN 75 MM, JUNTA ELÁSTICA, FORNECIDO E INSTALADO EM RAMAL DE DESCARGA OU RAMAL DE ESGOTO SANITÁRIO. AF_12/2014</v>
      </c>
      <c r="C2074" s="1941"/>
      <c r="D2074" s="1941"/>
      <c r="E2074" s="1941"/>
      <c r="F2074" s="1941"/>
      <c r="G2074" s="1941"/>
      <c r="H2074" s="1942"/>
      <c r="I2074" s="1785" t="str">
        <f>VLOOKUP(A2074,'PLANILHA SEM DESON'!$B$17:$D$1700,3,FALSE)</f>
        <v xml:space="preserve">un </v>
      </c>
      <c r="J2074" s="1786">
        <f>I2081</f>
        <v>24.799999999999997</v>
      </c>
    </row>
    <row r="2075" spans="1:10" ht="24">
      <c r="A2075" s="1788" t="s">
        <v>2470</v>
      </c>
      <c r="B2075" s="1789" t="s">
        <v>2471</v>
      </c>
      <c r="C2075" s="1790" t="s">
        <v>2468</v>
      </c>
      <c r="D2075" s="1791" t="s">
        <v>308</v>
      </c>
      <c r="E2075" s="1790" t="s">
        <v>202</v>
      </c>
      <c r="F2075" s="1792" t="s">
        <v>2472</v>
      </c>
      <c r="G2075" s="1790" t="s">
        <v>2473</v>
      </c>
      <c r="H2075" s="1793" t="s">
        <v>2474</v>
      </c>
      <c r="I2075" s="1794" t="s">
        <v>2475</v>
      </c>
      <c r="J2075" s="1795"/>
    </row>
    <row r="2076" spans="1:10" ht="24">
      <c r="A2076" s="1797" t="s">
        <v>2476</v>
      </c>
      <c r="B2076" s="1798" t="s">
        <v>2479</v>
      </c>
      <c r="C2076" s="1798">
        <v>297</v>
      </c>
      <c r="D2076" s="1799" t="s">
        <v>2772</v>
      </c>
      <c r="E2076" s="1800" t="s">
        <v>2501</v>
      </c>
      <c r="F2076" s="1807">
        <v>2</v>
      </c>
      <c r="G2076" s="1801">
        <v>2.91</v>
      </c>
      <c r="H2076" s="1802">
        <f>IF(E2076="H",G2076,TRUNC(G2076*(1-$K$7),2))</f>
        <v>2.89</v>
      </c>
      <c r="I2076" s="1803">
        <f t="shared" ref="I2076:I2080" si="296">TRUNC(H2076*F2076,2)</f>
        <v>5.78</v>
      </c>
      <c r="J2076" s="1795"/>
    </row>
    <row r="2077" spans="1:10" ht="24">
      <c r="A2077" s="1797" t="s">
        <v>2476</v>
      </c>
      <c r="B2077" s="1798" t="s">
        <v>2479</v>
      </c>
      <c r="C2077" s="1798">
        <v>3509</v>
      </c>
      <c r="D2077" s="1799" t="s">
        <v>2773</v>
      </c>
      <c r="E2077" s="1800" t="s">
        <v>2501</v>
      </c>
      <c r="F2077" s="1807">
        <v>1</v>
      </c>
      <c r="G2077" s="1801">
        <v>9.31</v>
      </c>
      <c r="H2077" s="1802">
        <f>IF(E2077="H",G2077,TRUNC(G2077*(1-$K$7),2))</f>
        <v>9.26</v>
      </c>
      <c r="I2077" s="1803">
        <f t="shared" si="296"/>
        <v>9.26</v>
      </c>
      <c r="J2077" s="1795"/>
    </row>
    <row r="2078" spans="1:10" ht="36">
      <c r="A2078" s="1797" t="s">
        <v>2476</v>
      </c>
      <c r="B2078" s="1798" t="s">
        <v>2479</v>
      </c>
      <c r="C2078" s="1798">
        <v>20078</v>
      </c>
      <c r="D2078" s="1799" t="s">
        <v>2769</v>
      </c>
      <c r="E2078" s="1800" t="s">
        <v>2501</v>
      </c>
      <c r="F2078" s="1807">
        <v>7.4999999999999997E-2</v>
      </c>
      <c r="G2078" s="1801">
        <v>31.72</v>
      </c>
      <c r="H2078" s="1802">
        <f>IF(E2078="H",G2078,TRUNC(G2078*(1-$K$7),2))</f>
        <v>31.55</v>
      </c>
      <c r="I2078" s="1803">
        <f t="shared" si="296"/>
        <v>2.36</v>
      </c>
      <c r="J2078" s="1795"/>
    </row>
    <row r="2079" spans="1:10" ht="24">
      <c r="A2079" s="1797" t="s">
        <v>2476</v>
      </c>
      <c r="B2079" s="1798" t="s">
        <v>7</v>
      </c>
      <c r="C2079" s="1798">
        <v>88248</v>
      </c>
      <c r="D2079" s="1799" t="s">
        <v>101</v>
      </c>
      <c r="E2079" s="1800" t="s">
        <v>411</v>
      </c>
      <c r="F2079" s="1807">
        <v>0.16520000000000001</v>
      </c>
      <c r="G2079" s="1801">
        <v>20.16</v>
      </c>
      <c r="H2079" s="1802">
        <f>IF(E2079="H",G2079,TRUNC(G2079*(1-$K$7),2))</f>
        <v>20.16</v>
      </c>
      <c r="I2079" s="1803">
        <f t="shared" si="296"/>
        <v>3.33</v>
      </c>
      <c r="J2079" s="1795"/>
    </row>
    <row r="2080" spans="1:10" ht="24">
      <c r="A2080" s="1797" t="s">
        <v>2476</v>
      </c>
      <c r="B2080" s="1798" t="s">
        <v>7</v>
      </c>
      <c r="C2080" s="1798">
        <v>88267</v>
      </c>
      <c r="D2080" s="1799" t="s">
        <v>102</v>
      </c>
      <c r="E2080" s="1800" t="s">
        <v>411</v>
      </c>
      <c r="F2080" s="1807">
        <v>0.16520000000000001</v>
      </c>
      <c r="G2080" s="1801">
        <v>24.64</v>
      </c>
      <c r="H2080" s="1802">
        <f>IF(E2080="H",G2080,TRUNC(G2080*(1-$K$7),2))</f>
        <v>24.64</v>
      </c>
      <c r="I2080" s="1803">
        <f t="shared" si="296"/>
        <v>4.07</v>
      </c>
      <c r="J2080" s="1795"/>
    </row>
    <row r="2081" spans="1:10">
      <c r="A2081" s="1943" t="s">
        <v>2477</v>
      </c>
      <c r="B2081" s="1944"/>
      <c r="C2081" s="1944"/>
      <c r="D2081" s="1944"/>
      <c r="E2081" s="1944"/>
      <c r="F2081" s="1944"/>
      <c r="G2081" s="1944"/>
      <c r="H2081" s="1945"/>
      <c r="I2081" s="1805">
        <f>SUM(I2076:I2080)</f>
        <v>24.799999999999997</v>
      </c>
      <c r="J2081" s="1795"/>
    </row>
    <row r="2082" spans="1:10">
      <c r="A2082" s="1929"/>
      <c r="B2082" s="1930"/>
      <c r="C2082" s="1930"/>
      <c r="D2082" s="1930"/>
      <c r="E2082" s="1930"/>
      <c r="F2082" s="1930"/>
      <c r="G2082" s="1930"/>
      <c r="H2082" s="1930"/>
      <c r="I2082" s="1931"/>
      <c r="J2082" s="1795"/>
    </row>
    <row r="2083" spans="1:10" ht="24.75" customHeight="1">
      <c r="A2083" s="1784">
        <f>'PLANILHA SEM DESON'!B315</f>
        <v>89724</v>
      </c>
      <c r="B2083" s="1940" t="str">
        <f>VLOOKUP(A2083,'PLANILHA SEM DESON'!$B$17:$D$1700,2,FALSE)</f>
        <v>JOELHO 90 GRAUS, PVC, SERIE NORMAL, ESGOTO PREDIAL, DN 40 MM, JUNTA SOLDÁVEL, FORNECIDO E INSTALADO EM RAMAL DE DESCARGA OU RAMAL DE ESGOTO SANITÁRIO. AF_12/2014</v>
      </c>
      <c r="C2083" s="1941"/>
      <c r="D2083" s="1941"/>
      <c r="E2083" s="1941"/>
      <c r="F2083" s="1941"/>
      <c r="G2083" s="1941"/>
      <c r="H2083" s="1942"/>
      <c r="I2083" s="1785" t="str">
        <f>VLOOKUP(A2083,'PLANILHA SEM DESON'!$B$17:$D$1700,3,FALSE)</f>
        <v xml:space="preserve">un </v>
      </c>
      <c r="J2083" s="1786">
        <f>I2091</f>
        <v>12.91</v>
      </c>
    </row>
    <row r="2084" spans="1:10" ht="24">
      <c r="A2084" s="1788" t="s">
        <v>2470</v>
      </c>
      <c r="B2084" s="1789" t="s">
        <v>2471</v>
      </c>
      <c r="C2084" s="1790" t="s">
        <v>2468</v>
      </c>
      <c r="D2084" s="1791" t="s">
        <v>308</v>
      </c>
      <c r="E2084" s="1790" t="s">
        <v>202</v>
      </c>
      <c r="F2084" s="1792" t="s">
        <v>2472</v>
      </c>
      <c r="G2084" s="1790" t="s">
        <v>2473</v>
      </c>
      <c r="H2084" s="1793" t="s">
        <v>2474</v>
      </c>
      <c r="I2084" s="1794" t="s">
        <v>2475</v>
      </c>
      <c r="J2084" s="1795"/>
    </row>
    <row r="2085" spans="1:10">
      <c r="A2085" s="1797" t="s">
        <v>2476</v>
      </c>
      <c r="B2085" s="1798" t="s">
        <v>2479</v>
      </c>
      <c r="C2085" s="1798">
        <v>122</v>
      </c>
      <c r="D2085" s="1799" t="s">
        <v>2732</v>
      </c>
      <c r="E2085" s="1800" t="s">
        <v>2501</v>
      </c>
      <c r="F2085" s="1807">
        <v>9.9000000000000008E-3</v>
      </c>
      <c r="G2085" s="1801">
        <v>76.86</v>
      </c>
      <c r="H2085" s="1802">
        <f t="shared" ref="H2085:H2090" si="297">IF(E2085="H",G2085,TRUNC(G2085*(1-$K$7),2))</f>
        <v>76.459999999999994</v>
      </c>
      <c r="I2085" s="1803">
        <f t="shared" ref="I2085:I2090" si="298">TRUNC(H2085*F2085,2)</f>
        <v>0.75</v>
      </c>
      <c r="J2085" s="1795"/>
    </row>
    <row r="2086" spans="1:10" ht="24">
      <c r="A2086" s="1797" t="s">
        <v>2476</v>
      </c>
      <c r="B2086" s="1798" t="s">
        <v>2479</v>
      </c>
      <c r="C2086" s="1798">
        <v>3517</v>
      </c>
      <c r="D2086" s="1799" t="s">
        <v>2774</v>
      </c>
      <c r="E2086" s="1800" t="s">
        <v>2501</v>
      </c>
      <c r="F2086" s="1807">
        <v>1</v>
      </c>
      <c r="G2086" s="1801">
        <v>5.21</v>
      </c>
      <c r="H2086" s="1802">
        <f t="shared" si="297"/>
        <v>5.18</v>
      </c>
      <c r="I2086" s="1803">
        <f t="shared" si="298"/>
        <v>5.18</v>
      </c>
      <c r="J2086" s="1795"/>
    </row>
    <row r="2087" spans="1:10" ht="24">
      <c r="A2087" s="1797" t="s">
        <v>2476</v>
      </c>
      <c r="B2087" s="1798" t="s">
        <v>2479</v>
      </c>
      <c r="C2087" s="1798">
        <v>20083</v>
      </c>
      <c r="D2087" s="1799" t="s">
        <v>2606</v>
      </c>
      <c r="E2087" s="1800" t="s">
        <v>2501</v>
      </c>
      <c r="F2087" s="1807">
        <v>1.4999999999999999E-2</v>
      </c>
      <c r="G2087" s="1801">
        <v>87.08</v>
      </c>
      <c r="H2087" s="1802">
        <f t="shared" si="297"/>
        <v>86.63</v>
      </c>
      <c r="I2087" s="1803">
        <f t="shared" si="298"/>
        <v>1.29</v>
      </c>
      <c r="J2087" s="1795"/>
    </row>
    <row r="2088" spans="1:10">
      <c r="A2088" s="1797" t="s">
        <v>2476</v>
      </c>
      <c r="B2088" s="1798" t="s">
        <v>2479</v>
      </c>
      <c r="C2088" s="1798">
        <v>38383</v>
      </c>
      <c r="D2088" s="1799" t="s">
        <v>2607</v>
      </c>
      <c r="E2088" s="1800" t="s">
        <v>2501</v>
      </c>
      <c r="F2088" s="1807">
        <v>7.1000000000000004E-3</v>
      </c>
      <c r="G2088" s="1801">
        <v>2.56</v>
      </c>
      <c r="H2088" s="1802">
        <f t="shared" si="297"/>
        <v>2.54</v>
      </c>
      <c r="I2088" s="1803">
        <f t="shared" si="298"/>
        <v>0.01</v>
      </c>
      <c r="J2088" s="1795"/>
    </row>
    <row r="2089" spans="1:10" ht="24">
      <c r="A2089" s="1797" t="s">
        <v>2476</v>
      </c>
      <c r="B2089" s="1798" t="s">
        <v>7</v>
      </c>
      <c r="C2089" s="1798">
        <v>88248</v>
      </c>
      <c r="D2089" s="1799" t="s">
        <v>101</v>
      </c>
      <c r="E2089" s="1800" t="s">
        <v>411</v>
      </c>
      <c r="F2089" s="1807">
        <v>0.127</v>
      </c>
      <c r="G2089" s="1801">
        <v>20.16</v>
      </c>
      <c r="H2089" s="1802">
        <f t="shared" si="297"/>
        <v>20.16</v>
      </c>
      <c r="I2089" s="1803">
        <f t="shared" si="298"/>
        <v>2.56</v>
      </c>
      <c r="J2089" s="1795"/>
    </row>
    <row r="2090" spans="1:10" ht="24">
      <c r="A2090" s="1797" t="s">
        <v>2476</v>
      </c>
      <c r="B2090" s="1798" t="s">
        <v>7</v>
      </c>
      <c r="C2090" s="1798">
        <v>88267</v>
      </c>
      <c r="D2090" s="1799" t="s">
        <v>102</v>
      </c>
      <c r="E2090" s="1800" t="s">
        <v>411</v>
      </c>
      <c r="F2090" s="1807">
        <v>0.127</v>
      </c>
      <c r="G2090" s="1801">
        <v>24.64</v>
      </c>
      <c r="H2090" s="1802">
        <f t="shared" si="297"/>
        <v>24.64</v>
      </c>
      <c r="I2090" s="1803">
        <f t="shared" si="298"/>
        <v>3.12</v>
      </c>
      <c r="J2090" s="1795"/>
    </row>
    <row r="2091" spans="1:10">
      <c r="A2091" s="1943" t="s">
        <v>2477</v>
      </c>
      <c r="B2091" s="1944"/>
      <c r="C2091" s="1944"/>
      <c r="D2091" s="1944"/>
      <c r="E2091" s="1944"/>
      <c r="F2091" s="1944"/>
      <c r="G2091" s="1944"/>
      <c r="H2091" s="1945"/>
      <c r="I2091" s="1805">
        <f>SUM(I2085:I2090)</f>
        <v>12.91</v>
      </c>
      <c r="J2091" s="1795"/>
    </row>
    <row r="2092" spans="1:10">
      <c r="A2092" s="1929"/>
      <c r="B2092" s="1930"/>
      <c r="C2092" s="1930"/>
      <c r="D2092" s="1930"/>
      <c r="E2092" s="1930"/>
      <c r="F2092" s="1930"/>
      <c r="G2092" s="1930"/>
      <c r="H2092" s="1930"/>
      <c r="I2092" s="1931"/>
      <c r="J2092" s="1795"/>
    </row>
    <row r="2093" spans="1:10" ht="26.25" customHeight="1">
      <c r="A2093" s="1784">
        <f>'PLANILHA SEM DESON'!B316</f>
        <v>89731</v>
      </c>
      <c r="B2093" s="1940" t="str">
        <f>VLOOKUP(A2093,'PLANILHA SEM DESON'!$B$17:$D$1700,2,FALSE)</f>
        <v>JOELHO 90 GRAUS, PVC, SERIE NORMAL, ESGOTO PREDIAL, DN 50 MM, JUNTA ELÁSTICA, FORNECIDO E INSTALADO EM RAMAL DE DESCARGA OU RAMAL DE ESGOTOSANITÁRIO. AF_12/2014</v>
      </c>
      <c r="C2093" s="1941"/>
      <c r="D2093" s="1941"/>
      <c r="E2093" s="1941"/>
      <c r="F2093" s="1941"/>
      <c r="G2093" s="1941"/>
      <c r="H2093" s="1942"/>
      <c r="I2093" s="1785" t="str">
        <f>VLOOKUP(A2093,'PLANILHA SEM DESON'!$B$17:$D$1700,3,FALSE)</f>
        <v xml:space="preserve">un </v>
      </c>
      <c r="J2093" s="1786">
        <f>I2100</f>
        <v>15.22</v>
      </c>
    </row>
    <row r="2094" spans="1:10" ht="24">
      <c r="A2094" s="1788" t="s">
        <v>2470</v>
      </c>
      <c r="B2094" s="1789" t="s">
        <v>2471</v>
      </c>
      <c r="C2094" s="1790" t="s">
        <v>2468</v>
      </c>
      <c r="D2094" s="1791" t="s">
        <v>308</v>
      </c>
      <c r="E2094" s="1790" t="s">
        <v>202</v>
      </c>
      <c r="F2094" s="1792" t="s">
        <v>2472</v>
      </c>
      <c r="G2094" s="1790" t="s">
        <v>2473</v>
      </c>
      <c r="H2094" s="1793" t="s">
        <v>2474</v>
      </c>
      <c r="I2094" s="1794" t="s">
        <v>2475</v>
      </c>
      <c r="J2094" s="1795"/>
    </row>
    <row r="2095" spans="1:10" ht="24">
      <c r="A2095" s="1797" t="s">
        <v>2476</v>
      </c>
      <c r="B2095" s="1798" t="s">
        <v>2479</v>
      </c>
      <c r="C2095" s="1798">
        <v>296</v>
      </c>
      <c r="D2095" s="1799" t="s">
        <v>2767</v>
      </c>
      <c r="E2095" s="1800" t="s">
        <v>2501</v>
      </c>
      <c r="F2095" s="1807">
        <v>2</v>
      </c>
      <c r="G2095" s="1801">
        <v>1.98</v>
      </c>
      <c r="H2095" s="1802">
        <f>IF(E2095="H",G2095,TRUNC(G2095*(1-$K$7),2))</f>
        <v>1.96</v>
      </c>
      <c r="I2095" s="1803">
        <f t="shared" ref="I2095:I2099" si="299">TRUNC(H2095*F2095,2)</f>
        <v>3.92</v>
      </c>
      <c r="J2095" s="1795"/>
    </row>
    <row r="2096" spans="1:10" ht="24">
      <c r="A2096" s="1797" t="s">
        <v>2476</v>
      </c>
      <c r="B2096" s="1798" t="s">
        <v>2479</v>
      </c>
      <c r="C2096" s="1798">
        <v>3526</v>
      </c>
      <c r="D2096" s="1799" t="s">
        <v>2775</v>
      </c>
      <c r="E2096" s="1800" t="s">
        <v>2501</v>
      </c>
      <c r="F2096" s="1807">
        <v>1</v>
      </c>
      <c r="G2096" s="1801">
        <v>3.58</v>
      </c>
      <c r="H2096" s="1802">
        <f>IF(E2096="H",G2096,TRUNC(G2096*(1-$K$7),2))</f>
        <v>3.56</v>
      </c>
      <c r="I2096" s="1803">
        <f t="shared" si="299"/>
        <v>3.56</v>
      </c>
      <c r="J2096" s="1795"/>
    </row>
    <row r="2097" spans="1:10" ht="36">
      <c r="A2097" s="1797" t="s">
        <v>2476</v>
      </c>
      <c r="B2097" s="1798" t="s">
        <v>2479</v>
      </c>
      <c r="C2097" s="1798">
        <v>20078</v>
      </c>
      <c r="D2097" s="1799" t="s">
        <v>2769</v>
      </c>
      <c r="E2097" s="1800" t="s">
        <v>2501</v>
      </c>
      <c r="F2097" s="1807">
        <v>0.05</v>
      </c>
      <c r="G2097" s="1801">
        <v>31.72</v>
      </c>
      <c r="H2097" s="1802">
        <f>IF(E2097="H",G2097,TRUNC(G2097*(1-$K$7),2))</f>
        <v>31.55</v>
      </c>
      <c r="I2097" s="1803">
        <f t="shared" si="299"/>
        <v>1.57</v>
      </c>
      <c r="J2097" s="1795"/>
    </row>
    <row r="2098" spans="1:10" ht="24">
      <c r="A2098" s="1797" t="s">
        <v>2476</v>
      </c>
      <c r="B2098" s="1798" t="s">
        <v>7</v>
      </c>
      <c r="C2098" s="1798">
        <v>88248</v>
      </c>
      <c r="D2098" s="1799" t="s">
        <v>101</v>
      </c>
      <c r="E2098" s="1800" t="s">
        <v>411</v>
      </c>
      <c r="F2098" s="1807">
        <v>0.13789999999999999</v>
      </c>
      <c r="G2098" s="1801">
        <v>20.16</v>
      </c>
      <c r="H2098" s="1802">
        <f>IF(E2098="H",G2098,TRUNC(G2098*(1-$K$7),2))</f>
        <v>20.16</v>
      </c>
      <c r="I2098" s="1803">
        <f t="shared" si="299"/>
        <v>2.78</v>
      </c>
      <c r="J2098" s="1795"/>
    </row>
    <row r="2099" spans="1:10" ht="24">
      <c r="A2099" s="1797" t="s">
        <v>2476</v>
      </c>
      <c r="B2099" s="1798" t="s">
        <v>7</v>
      </c>
      <c r="C2099" s="1798">
        <v>88267</v>
      </c>
      <c r="D2099" s="1799" t="s">
        <v>102</v>
      </c>
      <c r="E2099" s="1800" t="s">
        <v>411</v>
      </c>
      <c r="F2099" s="1807">
        <v>0.13789999999999999</v>
      </c>
      <c r="G2099" s="1801">
        <v>24.64</v>
      </c>
      <c r="H2099" s="1802">
        <f>IF(E2099="H",G2099,TRUNC(G2099*(1-$K$7),2))</f>
        <v>24.64</v>
      </c>
      <c r="I2099" s="1803">
        <f t="shared" si="299"/>
        <v>3.39</v>
      </c>
      <c r="J2099" s="1795"/>
    </row>
    <row r="2100" spans="1:10">
      <c r="A2100" s="1943" t="s">
        <v>2477</v>
      </c>
      <c r="B2100" s="1944"/>
      <c r="C2100" s="1944"/>
      <c r="D2100" s="1944"/>
      <c r="E2100" s="1944"/>
      <c r="F2100" s="1944"/>
      <c r="G2100" s="1944"/>
      <c r="H2100" s="1945"/>
      <c r="I2100" s="1805">
        <f>SUM(I2095:I2099)</f>
        <v>15.22</v>
      </c>
      <c r="J2100" s="1795"/>
    </row>
    <row r="2101" spans="1:10">
      <c r="A2101" s="1929"/>
      <c r="B2101" s="1930"/>
      <c r="C2101" s="1930"/>
      <c r="D2101" s="1930"/>
      <c r="E2101" s="1930"/>
      <c r="F2101" s="1930"/>
      <c r="G2101" s="1930"/>
      <c r="H2101" s="1930"/>
      <c r="I2101" s="1931"/>
      <c r="J2101" s="1795"/>
    </row>
    <row r="2102" spans="1:10" ht="24" customHeight="1">
      <c r="A2102" s="1784">
        <f>'PLANILHA SEM DESON'!B317</f>
        <v>89744</v>
      </c>
      <c r="B2102" s="1940" t="str">
        <f>VLOOKUP(A2102,'PLANILHA SEM DESON'!$B$17:$D$1700,2,FALSE)</f>
        <v>JOELHO 90 GRAUS, PVC, SERIE NORMAL, ESGOTO PREDIAL, DN 100 MM, JUNTA ELÁSTICA, FORNECIDO E INSTALADO EM RAMAL DE DESCARGA OU RAMAL DE ESGOTOSANITÁRIO. AF_12/2014</v>
      </c>
      <c r="C2102" s="1941"/>
      <c r="D2102" s="1941"/>
      <c r="E2102" s="1941"/>
      <c r="F2102" s="1941"/>
      <c r="G2102" s="1941"/>
      <c r="H2102" s="1942"/>
      <c r="I2102" s="1785" t="str">
        <f>VLOOKUP(A2102,'PLANILHA SEM DESON'!$B$17:$D$1700,3,FALSE)</f>
        <v xml:space="preserve">un </v>
      </c>
      <c r="J2102" s="1786">
        <f>I2109</f>
        <v>30.97</v>
      </c>
    </row>
    <row r="2103" spans="1:10" ht="24">
      <c r="A2103" s="1788" t="s">
        <v>2470</v>
      </c>
      <c r="B2103" s="1789" t="s">
        <v>2471</v>
      </c>
      <c r="C2103" s="1790" t="s">
        <v>2468</v>
      </c>
      <c r="D2103" s="1791" t="s">
        <v>308</v>
      </c>
      <c r="E2103" s="1790" t="s">
        <v>202</v>
      </c>
      <c r="F2103" s="1792" t="s">
        <v>2472</v>
      </c>
      <c r="G2103" s="1790" t="s">
        <v>2473</v>
      </c>
      <c r="H2103" s="1793" t="s">
        <v>2474</v>
      </c>
      <c r="I2103" s="1794" t="s">
        <v>2475</v>
      </c>
      <c r="J2103" s="1795"/>
    </row>
    <row r="2104" spans="1:10" ht="24">
      <c r="A2104" s="1797" t="s">
        <v>2476</v>
      </c>
      <c r="B2104" s="1798" t="s">
        <v>2479</v>
      </c>
      <c r="C2104" s="1798">
        <v>301</v>
      </c>
      <c r="D2104" s="1799" t="s">
        <v>2770</v>
      </c>
      <c r="E2104" s="1800" t="s">
        <v>2501</v>
      </c>
      <c r="F2104" s="1807">
        <v>2</v>
      </c>
      <c r="G2104" s="1801">
        <v>3.5</v>
      </c>
      <c r="H2104" s="1802">
        <f>IF(E2104="H",G2104,TRUNC(G2104*(1-$K$7),2))</f>
        <v>3.48</v>
      </c>
      <c r="I2104" s="1803">
        <f t="shared" ref="I2104:I2108" si="300">TRUNC(H2104*F2104,2)</f>
        <v>6.96</v>
      </c>
      <c r="J2104" s="1795"/>
    </row>
    <row r="2105" spans="1:10" ht="24">
      <c r="A2105" s="1797" t="s">
        <v>2476</v>
      </c>
      <c r="B2105" s="1798" t="s">
        <v>2479</v>
      </c>
      <c r="C2105" s="1798">
        <v>3520</v>
      </c>
      <c r="D2105" s="1799" t="s">
        <v>2776</v>
      </c>
      <c r="E2105" s="1800" t="s">
        <v>2501</v>
      </c>
      <c r="F2105" s="1807">
        <v>1</v>
      </c>
      <c r="G2105" s="1801">
        <v>11.84</v>
      </c>
      <c r="H2105" s="1802">
        <f>IF(E2105="H",G2105,TRUNC(G2105*(1-$K$7),2))</f>
        <v>11.77</v>
      </c>
      <c r="I2105" s="1803">
        <f t="shared" si="300"/>
        <v>11.77</v>
      </c>
      <c r="J2105" s="1795"/>
    </row>
    <row r="2106" spans="1:10" ht="36">
      <c r="A2106" s="1797" t="s">
        <v>2476</v>
      </c>
      <c r="B2106" s="1798" t="s">
        <v>2479</v>
      </c>
      <c r="C2106" s="1798">
        <v>20078</v>
      </c>
      <c r="D2106" s="1799" t="s">
        <v>2769</v>
      </c>
      <c r="E2106" s="1800" t="s">
        <v>2501</v>
      </c>
      <c r="F2106" s="1807">
        <v>0.115</v>
      </c>
      <c r="G2106" s="1801">
        <v>31.72</v>
      </c>
      <c r="H2106" s="1802">
        <f>IF(E2106="H",G2106,TRUNC(G2106*(1-$K$7),2))</f>
        <v>31.55</v>
      </c>
      <c r="I2106" s="1803">
        <f t="shared" si="300"/>
        <v>3.62</v>
      </c>
      <c r="J2106" s="1795"/>
    </row>
    <row r="2107" spans="1:10" ht="24">
      <c r="A2107" s="1797" t="s">
        <v>2476</v>
      </c>
      <c r="B2107" s="1798" t="s">
        <v>7</v>
      </c>
      <c r="C2107" s="1798">
        <v>88248</v>
      </c>
      <c r="D2107" s="1799" t="s">
        <v>101</v>
      </c>
      <c r="E2107" s="1800" t="s">
        <v>411</v>
      </c>
      <c r="F2107" s="1807">
        <v>0.19259999999999999</v>
      </c>
      <c r="G2107" s="1801">
        <v>20.16</v>
      </c>
      <c r="H2107" s="1802">
        <f>IF(E2107="H",G2107,TRUNC(G2107*(1-$K$7),2))</f>
        <v>20.16</v>
      </c>
      <c r="I2107" s="1803">
        <f t="shared" si="300"/>
        <v>3.88</v>
      </c>
      <c r="J2107" s="1795"/>
    </row>
    <row r="2108" spans="1:10" ht="24">
      <c r="A2108" s="1797" t="s">
        <v>2476</v>
      </c>
      <c r="B2108" s="1798" t="s">
        <v>7</v>
      </c>
      <c r="C2108" s="1798">
        <v>88267</v>
      </c>
      <c r="D2108" s="1799" t="s">
        <v>102</v>
      </c>
      <c r="E2108" s="1800" t="s">
        <v>411</v>
      </c>
      <c r="F2108" s="1807">
        <v>0.19259999999999999</v>
      </c>
      <c r="G2108" s="1801">
        <v>24.64</v>
      </c>
      <c r="H2108" s="1802">
        <f>IF(E2108="H",G2108,TRUNC(G2108*(1-$K$7),2))</f>
        <v>24.64</v>
      </c>
      <c r="I2108" s="1803">
        <f t="shared" si="300"/>
        <v>4.74</v>
      </c>
      <c r="J2108" s="1795"/>
    </row>
    <row r="2109" spans="1:10">
      <c r="A2109" s="1943" t="s">
        <v>2477</v>
      </c>
      <c r="B2109" s="1944"/>
      <c r="C2109" s="1944"/>
      <c r="D2109" s="1944"/>
      <c r="E2109" s="1944"/>
      <c r="F2109" s="1944"/>
      <c r="G2109" s="1944"/>
      <c r="H2109" s="1945"/>
      <c r="I2109" s="1805">
        <f>SUM(I2104:I2108)</f>
        <v>30.97</v>
      </c>
      <c r="J2109" s="1795"/>
    </row>
    <row r="2110" spans="1:10">
      <c r="A2110" s="1929"/>
      <c r="B2110" s="1930"/>
      <c r="C2110" s="1930"/>
      <c r="D2110" s="1930"/>
      <c r="E2110" s="1930"/>
      <c r="F2110" s="1930"/>
      <c r="G2110" s="1930"/>
      <c r="H2110" s="1930"/>
      <c r="I2110" s="1931"/>
      <c r="J2110" s="1795"/>
    </row>
    <row r="2111" spans="1:10" ht="24.75" customHeight="1">
      <c r="A2111" s="1784" t="str">
        <f>'PLANILHA SEM DESON'!B318</f>
        <v>COMP HIDR 15</v>
      </c>
      <c r="B2111" s="1940" t="str">
        <f>VLOOKUP(A2111,'PLANILHA SEM DESON'!$B$17:$D$1700,2,FALSE)</f>
        <v>JOELHO DE REDUÇÃO 90 GRAUS 40MM X 11/2"</v>
      </c>
      <c r="C2111" s="1941"/>
      <c r="D2111" s="1941"/>
      <c r="E2111" s="1941"/>
      <c r="F2111" s="1941"/>
      <c r="G2111" s="1941"/>
      <c r="H2111" s="1942"/>
      <c r="I2111" s="1785" t="str">
        <f>VLOOKUP(A2111,'PLANILHA SEM DESON'!$B$17:$D$1700,3,FALSE)</f>
        <v xml:space="preserve">un </v>
      </c>
      <c r="J2111" s="1786">
        <f>I2117</f>
        <v>41.61</v>
      </c>
    </row>
    <row r="2112" spans="1:10" ht="24">
      <c r="A2112" s="1788" t="s">
        <v>2470</v>
      </c>
      <c r="B2112" s="1789" t="s">
        <v>2471</v>
      </c>
      <c r="C2112" s="1790" t="s">
        <v>2468</v>
      </c>
      <c r="D2112" s="1791" t="s">
        <v>308</v>
      </c>
      <c r="E2112" s="1790" t="s">
        <v>202</v>
      </c>
      <c r="F2112" s="1792" t="s">
        <v>2472</v>
      </c>
      <c r="G2112" s="1790" t="s">
        <v>2473</v>
      </c>
      <c r="H2112" s="1793" t="s">
        <v>2474</v>
      </c>
      <c r="I2112" s="1794" t="s">
        <v>2475</v>
      </c>
      <c r="J2112" s="1795"/>
    </row>
    <row r="2113" spans="1:10" ht="24">
      <c r="A2113" s="1797"/>
      <c r="B2113" s="1798"/>
      <c r="C2113" s="1798" t="s">
        <v>461</v>
      </c>
      <c r="D2113" s="1799" t="s">
        <v>101</v>
      </c>
      <c r="E2113" s="1800" t="s">
        <v>57</v>
      </c>
      <c r="F2113" s="1817">
        <v>0.2</v>
      </c>
      <c r="G2113" s="1808">
        <v>20.16</v>
      </c>
      <c r="H2113" s="1802">
        <f>IF(E2113="H",G2113,TRUNC(G2113*(1-$K$7),2))</f>
        <v>20.16</v>
      </c>
      <c r="I2113" s="1803">
        <f t="shared" ref="I2113:I2116" si="301">TRUNC(H2113*F2113,2)</f>
        <v>4.03</v>
      </c>
      <c r="J2113" s="1795"/>
    </row>
    <row r="2114" spans="1:10" ht="24">
      <c r="A2114" s="1797"/>
      <c r="B2114" s="1798"/>
      <c r="C2114" s="1798" t="s">
        <v>462</v>
      </c>
      <c r="D2114" s="1799" t="s">
        <v>102</v>
      </c>
      <c r="E2114" s="1800" t="s">
        <v>57</v>
      </c>
      <c r="F2114" s="1817">
        <v>0.2</v>
      </c>
      <c r="G2114" s="1808">
        <v>24.64</v>
      </c>
      <c r="H2114" s="1802">
        <f>IF(E2114="H",G2114,TRUNC(G2114*(1-$K$7),2))</f>
        <v>24.64</v>
      </c>
      <c r="I2114" s="1803">
        <f t="shared" si="301"/>
        <v>4.92</v>
      </c>
      <c r="J2114" s="1795"/>
    </row>
    <row r="2115" spans="1:10">
      <c r="A2115" s="1797"/>
      <c r="B2115" s="1798"/>
      <c r="C2115" s="1798">
        <v>3148</v>
      </c>
      <c r="D2115" s="1799" t="s">
        <v>477</v>
      </c>
      <c r="E2115" s="1800" t="s">
        <v>55</v>
      </c>
      <c r="F2115" s="1817">
        <v>0.31</v>
      </c>
      <c r="G2115" s="1806">
        <v>17.989999999999998</v>
      </c>
      <c r="H2115" s="1802">
        <f>IF(E2115="H",G2115,TRUNC(G2115*(1-$K$7),2))</f>
        <v>17.89</v>
      </c>
      <c r="I2115" s="1803">
        <f t="shared" si="301"/>
        <v>5.54</v>
      </c>
      <c r="J2115" s="1795"/>
    </row>
    <row r="2116" spans="1:10" ht="24">
      <c r="A2116" s="1797"/>
      <c r="B2116" s="1798"/>
      <c r="C2116" s="1798">
        <v>10836</v>
      </c>
      <c r="D2116" s="1799" t="s">
        <v>1992</v>
      </c>
      <c r="E2116" s="1800" t="s">
        <v>55</v>
      </c>
      <c r="F2116" s="1817">
        <v>1</v>
      </c>
      <c r="G2116" s="1806">
        <v>27.26</v>
      </c>
      <c r="H2116" s="1802">
        <f>IF(E2116="H",G2116,TRUNC(G2116*(1-$K$7),2))</f>
        <v>27.12</v>
      </c>
      <c r="I2116" s="1803">
        <f t="shared" si="301"/>
        <v>27.12</v>
      </c>
      <c r="J2116" s="1795"/>
    </row>
    <row r="2117" spans="1:10">
      <c r="A2117" s="1943" t="s">
        <v>2477</v>
      </c>
      <c r="B2117" s="1944"/>
      <c r="C2117" s="1944"/>
      <c r="D2117" s="1944"/>
      <c r="E2117" s="1944"/>
      <c r="F2117" s="1944"/>
      <c r="G2117" s="1944"/>
      <c r="H2117" s="1945"/>
      <c r="I2117" s="1805">
        <f>SUM(I2113:I2116)</f>
        <v>41.61</v>
      </c>
      <c r="J2117" s="1795"/>
    </row>
    <row r="2118" spans="1:10">
      <c r="A2118" s="1929"/>
      <c r="B2118" s="1930"/>
      <c r="C2118" s="1930"/>
      <c r="D2118" s="1930"/>
      <c r="E2118" s="1930"/>
      <c r="F2118" s="1930"/>
      <c r="G2118" s="1930"/>
      <c r="H2118" s="1930"/>
      <c r="I2118" s="1931"/>
      <c r="J2118" s="1795"/>
    </row>
    <row r="2119" spans="1:10" ht="24.75" customHeight="1">
      <c r="A2119" s="1784" t="str">
        <f>'PLANILHA SEM DESON'!B319</f>
        <v>COMP HIDR 16</v>
      </c>
      <c r="B2119" s="1940" t="str">
        <f>VLOOKUP(A2119,'PLANILHA SEM DESON'!$B$17:$D$1700,2,FALSE)</f>
        <v>JUNÇÃO SIMPLES, PVC, SERIE NORMAL, ESGOTO PREDIAL, DN 100 X 50 MM, JUNTA ELÁSTICA, FORNECIDO E INSTALADO EM RAMAL DE DESCARGA OU RAMAL DE ESGOTO SANITÁRIO. AF_12/2014</v>
      </c>
      <c r="C2119" s="1941"/>
      <c r="D2119" s="1941"/>
      <c r="E2119" s="1941"/>
      <c r="F2119" s="1941"/>
      <c r="G2119" s="1941"/>
      <c r="H2119" s="1942"/>
      <c r="I2119" s="1785" t="str">
        <f>VLOOKUP(A2119,'PLANILHA SEM DESON'!$B$17:$D$1700,3,FALSE)</f>
        <v xml:space="preserve">un </v>
      </c>
      <c r="J2119" s="1786">
        <f>I2127</f>
        <v>41.9</v>
      </c>
    </row>
    <row r="2120" spans="1:10" ht="24">
      <c r="A2120" s="1788" t="s">
        <v>2470</v>
      </c>
      <c r="B2120" s="1789" t="s">
        <v>2471</v>
      </c>
      <c r="C2120" s="1790" t="s">
        <v>2468</v>
      </c>
      <c r="D2120" s="1791" t="s">
        <v>308</v>
      </c>
      <c r="E2120" s="1790" t="s">
        <v>202</v>
      </c>
      <c r="F2120" s="1792" t="s">
        <v>2472</v>
      </c>
      <c r="G2120" s="1790" t="s">
        <v>2473</v>
      </c>
      <c r="H2120" s="1793" t="s">
        <v>2474</v>
      </c>
      <c r="I2120" s="1794" t="s">
        <v>2475</v>
      </c>
      <c r="J2120" s="1795"/>
    </row>
    <row r="2121" spans="1:10" ht="24">
      <c r="A2121" s="1797"/>
      <c r="B2121" s="1798"/>
      <c r="C2121" s="1798" t="s">
        <v>461</v>
      </c>
      <c r="D2121" s="1799" t="s">
        <v>101</v>
      </c>
      <c r="E2121" s="1800" t="s">
        <v>57</v>
      </c>
      <c r="F2121" s="1817">
        <v>0.185</v>
      </c>
      <c r="G2121" s="1808">
        <v>20.16</v>
      </c>
      <c r="H2121" s="1802">
        <f t="shared" ref="H2121:H2126" si="302">IF(E2121="H",G2121,TRUNC(G2121*(1-$K$7),2))</f>
        <v>20.16</v>
      </c>
      <c r="I2121" s="1803">
        <f t="shared" ref="I2121:I2126" si="303">TRUNC(H2121*F2121,2)</f>
        <v>3.72</v>
      </c>
      <c r="J2121" s="1795"/>
    </row>
    <row r="2122" spans="1:10" ht="24">
      <c r="A2122" s="1797"/>
      <c r="B2122" s="1798"/>
      <c r="C2122" s="1798" t="s">
        <v>462</v>
      </c>
      <c r="D2122" s="1799" t="s">
        <v>102</v>
      </c>
      <c r="E2122" s="1800" t="s">
        <v>57</v>
      </c>
      <c r="F2122" s="1817">
        <v>0.185</v>
      </c>
      <c r="G2122" s="1808">
        <v>24.64</v>
      </c>
      <c r="H2122" s="1802">
        <f t="shared" si="302"/>
        <v>24.64</v>
      </c>
      <c r="I2122" s="1803">
        <f t="shared" si="303"/>
        <v>4.55</v>
      </c>
      <c r="J2122" s="1795"/>
    </row>
    <row r="2123" spans="1:10" ht="24">
      <c r="A2123" s="1797"/>
      <c r="B2123" s="1798"/>
      <c r="C2123" s="1798">
        <v>20085</v>
      </c>
      <c r="D2123" s="1799" t="s">
        <v>1795</v>
      </c>
      <c r="E2123" s="1800" t="s">
        <v>55</v>
      </c>
      <c r="F2123" s="1817">
        <v>1</v>
      </c>
      <c r="G2123" s="1806">
        <v>2.59</v>
      </c>
      <c r="H2123" s="1802">
        <f t="shared" si="302"/>
        <v>2.57</v>
      </c>
      <c r="I2123" s="1803">
        <f t="shared" si="303"/>
        <v>2.57</v>
      </c>
      <c r="J2123" s="1795"/>
    </row>
    <row r="2124" spans="1:10" ht="24">
      <c r="A2124" s="1797"/>
      <c r="B2124" s="1798"/>
      <c r="C2124" s="1798">
        <v>301</v>
      </c>
      <c r="D2124" s="1799" t="s">
        <v>1994</v>
      </c>
      <c r="E2124" s="1800" t="s">
        <v>55</v>
      </c>
      <c r="F2124" s="1817">
        <v>1</v>
      </c>
      <c r="G2124" s="1806">
        <v>3.5</v>
      </c>
      <c r="H2124" s="1802">
        <f t="shared" si="302"/>
        <v>3.48</v>
      </c>
      <c r="I2124" s="1803">
        <f t="shared" si="303"/>
        <v>3.48</v>
      </c>
      <c r="J2124" s="1795"/>
    </row>
    <row r="2125" spans="1:10" ht="36">
      <c r="A2125" s="1797"/>
      <c r="B2125" s="1798"/>
      <c r="C2125" s="1798">
        <v>20078</v>
      </c>
      <c r="D2125" s="1799" t="s">
        <v>1794</v>
      </c>
      <c r="E2125" s="1800" t="s">
        <v>55</v>
      </c>
      <c r="F2125" s="1817">
        <v>9.1999999999999998E-2</v>
      </c>
      <c r="G2125" s="1806">
        <v>31.72</v>
      </c>
      <c r="H2125" s="1802">
        <f t="shared" si="302"/>
        <v>31.55</v>
      </c>
      <c r="I2125" s="1803">
        <f t="shared" si="303"/>
        <v>2.9</v>
      </c>
      <c r="J2125" s="1795"/>
    </row>
    <row r="2126" spans="1:10" ht="24">
      <c r="A2126" s="1797"/>
      <c r="B2126" s="1798"/>
      <c r="C2126" s="1798">
        <v>10908</v>
      </c>
      <c r="D2126" s="1799" t="s">
        <v>1995</v>
      </c>
      <c r="E2126" s="1800" t="s">
        <v>55</v>
      </c>
      <c r="F2126" s="1817">
        <v>1</v>
      </c>
      <c r="G2126" s="1806">
        <v>24.81</v>
      </c>
      <c r="H2126" s="1802">
        <f t="shared" si="302"/>
        <v>24.68</v>
      </c>
      <c r="I2126" s="1803">
        <f t="shared" si="303"/>
        <v>24.68</v>
      </c>
      <c r="J2126" s="1795"/>
    </row>
    <row r="2127" spans="1:10">
      <c r="A2127" s="1943" t="s">
        <v>2477</v>
      </c>
      <c r="B2127" s="1944"/>
      <c r="C2127" s="1944"/>
      <c r="D2127" s="1944"/>
      <c r="E2127" s="1944"/>
      <c r="F2127" s="1944"/>
      <c r="G2127" s="1944"/>
      <c r="H2127" s="1945"/>
      <c r="I2127" s="1805">
        <f>SUM(I2121:I2126)</f>
        <v>41.9</v>
      </c>
      <c r="J2127" s="1795"/>
    </row>
    <row r="2128" spans="1:10">
      <c r="A2128" s="1929"/>
      <c r="B2128" s="1930"/>
      <c r="C2128" s="1930"/>
      <c r="D2128" s="1930"/>
      <c r="E2128" s="1930"/>
      <c r="F2128" s="1930"/>
      <c r="G2128" s="1930"/>
      <c r="H2128" s="1930"/>
      <c r="I2128" s="1931"/>
      <c r="J2128" s="1795"/>
    </row>
    <row r="2129" spans="1:10" ht="24.75" customHeight="1">
      <c r="A2129" s="1784">
        <f>'PLANILHA SEM DESON'!B320</f>
        <v>89785</v>
      </c>
      <c r="B2129" s="1940" t="str">
        <f>VLOOKUP(A2129,'PLANILHA SEM DESON'!$B$17:$D$1700,2,FALSE)</f>
        <v>JUNÇÃO SIMPLES, PVC, SERIE NORMAL, ESGOTO PREDIAL, DN 50 X 50 MM, JUNTA ELÁSTICA, FORNECIDO E INSTALADO EM RAMAL DE DESCARGA OU RAMAL DE ESGOTO SANITÁRIO. AF_12/2014</v>
      </c>
      <c r="C2129" s="1941"/>
      <c r="D2129" s="1941"/>
      <c r="E2129" s="1941"/>
      <c r="F2129" s="1941"/>
      <c r="G2129" s="1941"/>
      <c r="H2129" s="1942"/>
      <c r="I2129" s="1785" t="str">
        <f>VLOOKUP(A2129,'PLANILHA SEM DESON'!$B$17:$D$1700,3,FALSE)</f>
        <v xml:space="preserve">un </v>
      </c>
      <c r="J2129" s="1786">
        <f>I2136</f>
        <v>29</v>
      </c>
    </row>
    <row r="2130" spans="1:10" ht="24">
      <c r="A2130" s="1788" t="s">
        <v>2470</v>
      </c>
      <c r="B2130" s="1789" t="s">
        <v>2471</v>
      </c>
      <c r="C2130" s="1790" t="s">
        <v>2468</v>
      </c>
      <c r="D2130" s="1791" t="s">
        <v>308</v>
      </c>
      <c r="E2130" s="1790" t="s">
        <v>202</v>
      </c>
      <c r="F2130" s="1792" t="s">
        <v>2472</v>
      </c>
      <c r="G2130" s="1790" t="s">
        <v>2473</v>
      </c>
      <c r="H2130" s="1793" t="s">
        <v>2474</v>
      </c>
      <c r="I2130" s="1794" t="s">
        <v>2475</v>
      </c>
      <c r="J2130" s="1795"/>
    </row>
    <row r="2131" spans="1:10" ht="24">
      <c r="A2131" s="1797" t="s">
        <v>2476</v>
      </c>
      <c r="B2131" s="1798" t="s">
        <v>2479</v>
      </c>
      <c r="C2131" s="1798">
        <v>296</v>
      </c>
      <c r="D2131" s="1799" t="s">
        <v>2767</v>
      </c>
      <c r="E2131" s="1800" t="s">
        <v>2501</v>
      </c>
      <c r="F2131" s="1807">
        <v>3</v>
      </c>
      <c r="G2131" s="1801">
        <v>1.98</v>
      </c>
      <c r="H2131" s="1802">
        <f>IF(E2131="H",G2131,TRUNC(G2131*(1-$K$7),2))</f>
        <v>1.96</v>
      </c>
      <c r="I2131" s="1803">
        <f t="shared" ref="I2131:I2135" si="304">TRUNC(H2131*F2131,2)</f>
        <v>5.88</v>
      </c>
      <c r="J2131" s="1795"/>
    </row>
    <row r="2132" spans="1:10" ht="24">
      <c r="A2132" s="1797" t="s">
        <v>2476</v>
      </c>
      <c r="B2132" s="1798" t="s">
        <v>2479</v>
      </c>
      <c r="C2132" s="1798">
        <v>3662</v>
      </c>
      <c r="D2132" s="1799" t="s">
        <v>2777</v>
      </c>
      <c r="E2132" s="1800" t="s">
        <v>2501</v>
      </c>
      <c r="F2132" s="1807">
        <v>1</v>
      </c>
      <c r="G2132" s="1801">
        <v>12.6</v>
      </c>
      <c r="H2132" s="1802">
        <f>IF(E2132="H",G2132,TRUNC(G2132*(1-$K$7),2))</f>
        <v>12.53</v>
      </c>
      <c r="I2132" s="1803">
        <f t="shared" si="304"/>
        <v>12.53</v>
      </c>
      <c r="J2132" s="1795"/>
    </row>
    <row r="2133" spans="1:10" ht="36">
      <c r="A2133" s="1797" t="s">
        <v>2476</v>
      </c>
      <c r="B2133" s="1798" t="s">
        <v>2479</v>
      </c>
      <c r="C2133" s="1798">
        <v>20078</v>
      </c>
      <c r="D2133" s="1799" t="s">
        <v>2769</v>
      </c>
      <c r="E2133" s="1800" t="s">
        <v>2501</v>
      </c>
      <c r="F2133" s="1807">
        <v>7.4999999999999997E-2</v>
      </c>
      <c r="G2133" s="1801">
        <v>31.72</v>
      </c>
      <c r="H2133" s="1802">
        <f>IF(E2133="H",G2133,TRUNC(G2133*(1-$K$7),2))</f>
        <v>31.55</v>
      </c>
      <c r="I2133" s="1803">
        <f t="shared" si="304"/>
        <v>2.36</v>
      </c>
      <c r="J2133" s="1795"/>
    </row>
    <row r="2134" spans="1:10" ht="24">
      <c r="A2134" s="1797" t="s">
        <v>2476</v>
      </c>
      <c r="B2134" s="1798" t="s">
        <v>7</v>
      </c>
      <c r="C2134" s="1798">
        <v>88248</v>
      </c>
      <c r="D2134" s="1799" t="s">
        <v>101</v>
      </c>
      <c r="E2134" s="1800" t="s">
        <v>411</v>
      </c>
      <c r="F2134" s="1807">
        <v>0.18390000000000001</v>
      </c>
      <c r="G2134" s="1801">
        <v>20.16</v>
      </c>
      <c r="H2134" s="1802">
        <f>IF(E2134="H",G2134,TRUNC(G2134*(1-$K$7),2))</f>
        <v>20.16</v>
      </c>
      <c r="I2134" s="1803">
        <f t="shared" si="304"/>
        <v>3.7</v>
      </c>
      <c r="J2134" s="1795"/>
    </row>
    <row r="2135" spans="1:10" ht="24">
      <c r="A2135" s="1797" t="s">
        <v>2476</v>
      </c>
      <c r="B2135" s="1798" t="s">
        <v>7</v>
      </c>
      <c r="C2135" s="1798">
        <v>88267</v>
      </c>
      <c r="D2135" s="1799" t="s">
        <v>102</v>
      </c>
      <c r="E2135" s="1800" t="s">
        <v>411</v>
      </c>
      <c r="F2135" s="1807">
        <v>0.18390000000000001</v>
      </c>
      <c r="G2135" s="1801">
        <v>24.64</v>
      </c>
      <c r="H2135" s="1802">
        <f>IF(E2135="H",G2135,TRUNC(G2135*(1-$K$7),2))</f>
        <v>24.64</v>
      </c>
      <c r="I2135" s="1803">
        <f t="shared" si="304"/>
        <v>4.53</v>
      </c>
      <c r="J2135" s="1795"/>
    </row>
    <row r="2136" spans="1:10">
      <c r="A2136" s="1943" t="s">
        <v>2477</v>
      </c>
      <c r="B2136" s="1944"/>
      <c r="C2136" s="1944"/>
      <c r="D2136" s="1944"/>
      <c r="E2136" s="1944"/>
      <c r="F2136" s="1944"/>
      <c r="G2136" s="1944"/>
      <c r="H2136" s="1945"/>
      <c r="I2136" s="1805">
        <f>SUM(I2131:I2135)</f>
        <v>29</v>
      </c>
      <c r="J2136" s="1795"/>
    </row>
    <row r="2137" spans="1:10">
      <c r="A2137" s="1929"/>
      <c r="B2137" s="1930"/>
      <c r="C2137" s="1930"/>
      <c r="D2137" s="1930"/>
      <c r="E2137" s="1930"/>
      <c r="F2137" s="1930"/>
      <c r="G2137" s="1930"/>
      <c r="H2137" s="1930"/>
      <c r="I2137" s="1931"/>
      <c r="J2137" s="1795"/>
    </row>
    <row r="2138" spans="1:10" ht="24" customHeight="1">
      <c r="A2138" s="1784">
        <f>'PLANILHA SEM DESON'!B321</f>
        <v>89797</v>
      </c>
      <c r="B2138" s="1940" t="str">
        <f>VLOOKUP(A2138,'PLANILHA SEM DESON'!$B$17:$D$1700,2,FALSE)</f>
        <v>JUNÇÃO SIMPLES, PVC, SERIE NORMAL, ESGOTO PREDIAL, DN 100 X 100 MM, JUNTA ELÁSTICA, FORNECIDO E INSTALADO EM RAMAL DE DESCARGA OU RAMAL DE ESGOTO SANITÁRIO. AF_12/2014</v>
      </c>
      <c r="C2138" s="1941"/>
      <c r="D2138" s="1941"/>
      <c r="E2138" s="1941"/>
      <c r="F2138" s="1941"/>
      <c r="G2138" s="1941"/>
      <c r="H2138" s="1942"/>
      <c r="I2138" s="1785" t="str">
        <f>VLOOKUP(A2138,'PLANILHA SEM DESON'!$B$17:$D$1700,3,FALSE)</f>
        <v xml:space="preserve">un </v>
      </c>
      <c r="J2138" s="1786">
        <f>I2145</f>
        <v>58.01</v>
      </c>
    </row>
    <row r="2139" spans="1:10" ht="24">
      <c r="A2139" s="1788" t="s">
        <v>2470</v>
      </c>
      <c r="B2139" s="1789" t="s">
        <v>2471</v>
      </c>
      <c r="C2139" s="1790" t="s">
        <v>2468</v>
      </c>
      <c r="D2139" s="1791" t="s">
        <v>308</v>
      </c>
      <c r="E2139" s="1790" t="s">
        <v>202</v>
      </c>
      <c r="F2139" s="1792" t="s">
        <v>2472</v>
      </c>
      <c r="G2139" s="1790" t="s">
        <v>2473</v>
      </c>
      <c r="H2139" s="1793" t="s">
        <v>2474</v>
      </c>
      <c r="I2139" s="1794" t="s">
        <v>2475</v>
      </c>
      <c r="J2139" s="1795"/>
    </row>
    <row r="2140" spans="1:10" ht="24">
      <c r="A2140" s="1797" t="s">
        <v>2476</v>
      </c>
      <c r="B2140" s="1798" t="s">
        <v>2479</v>
      </c>
      <c r="C2140" s="1798">
        <v>301</v>
      </c>
      <c r="D2140" s="1799" t="s">
        <v>2770</v>
      </c>
      <c r="E2140" s="1800" t="s">
        <v>2501</v>
      </c>
      <c r="F2140" s="1807">
        <v>3</v>
      </c>
      <c r="G2140" s="1801">
        <v>3.5</v>
      </c>
      <c r="H2140" s="1802">
        <f>IF(E2140="H",G2140,TRUNC(G2140*(1-$K$7),2))</f>
        <v>3.48</v>
      </c>
      <c r="I2140" s="1803">
        <f t="shared" ref="I2140:I2144" si="305">TRUNC(H2140*F2140,2)</f>
        <v>10.44</v>
      </c>
      <c r="J2140" s="1795"/>
    </row>
    <row r="2141" spans="1:10" ht="24">
      <c r="A2141" s="1797" t="s">
        <v>2476</v>
      </c>
      <c r="B2141" s="1798" t="s">
        <v>2479</v>
      </c>
      <c r="C2141" s="1798">
        <v>3670</v>
      </c>
      <c r="D2141" s="1799" t="s">
        <v>2505</v>
      </c>
      <c r="E2141" s="1800" t="s">
        <v>2501</v>
      </c>
      <c r="F2141" s="1807">
        <v>1</v>
      </c>
      <c r="G2141" s="1801">
        <v>30.8</v>
      </c>
      <c r="H2141" s="1802">
        <f>IF(E2141="H",G2141,TRUNC(G2141*(1-$K$7),2))</f>
        <v>30.64</v>
      </c>
      <c r="I2141" s="1803">
        <f t="shared" si="305"/>
        <v>30.64</v>
      </c>
      <c r="J2141" s="1795"/>
    </row>
    <row r="2142" spans="1:10" ht="36">
      <c r="A2142" s="1797" t="s">
        <v>2476</v>
      </c>
      <c r="B2142" s="1798" t="s">
        <v>2479</v>
      </c>
      <c r="C2142" s="1798">
        <v>20078</v>
      </c>
      <c r="D2142" s="1799" t="s">
        <v>2769</v>
      </c>
      <c r="E2142" s="1800" t="s">
        <v>2501</v>
      </c>
      <c r="F2142" s="1807">
        <v>0.17249999999999999</v>
      </c>
      <c r="G2142" s="1801">
        <v>31.72</v>
      </c>
      <c r="H2142" s="1802">
        <f>IF(E2142="H",G2142,TRUNC(G2142*(1-$K$7),2))</f>
        <v>31.55</v>
      </c>
      <c r="I2142" s="1803">
        <f t="shared" si="305"/>
        <v>5.44</v>
      </c>
      <c r="J2142" s="1795"/>
    </row>
    <row r="2143" spans="1:10" ht="24">
      <c r="A2143" s="1797" t="s">
        <v>2476</v>
      </c>
      <c r="B2143" s="1798" t="s">
        <v>7</v>
      </c>
      <c r="C2143" s="1798">
        <v>88248</v>
      </c>
      <c r="D2143" s="1799" t="s">
        <v>101</v>
      </c>
      <c r="E2143" s="1800" t="s">
        <v>411</v>
      </c>
      <c r="F2143" s="1807">
        <v>0.25679999999999997</v>
      </c>
      <c r="G2143" s="1801">
        <v>20.16</v>
      </c>
      <c r="H2143" s="1802">
        <f>IF(E2143="H",G2143,TRUNC(G2143*(1-$K$7),2))</f>
        <v>20.16</v>
      </c>
      <c r="I2143" s="1803">
        <f t="shared" si="305"/>
        <v>5.17</v>
      </c>
      <c r="J2143" s="1795"/>
    </row>
    <row r="2144" spans="1:10" ht="24">
      <c r="A2144" s="1797" t="s">
        <v>2476</v>
      </c>
      <c r="B2144" s="1798" t="s">
        <v>7</v>
      </c>
      <c r="C2144" s="1798">
        <v>88267</v>
      </c>
      <c r="D2144" s="1799" t="s">
        <v>102</v>
      </c>
      <c r="E2144" s="1800" t="s">
        <v>411</v>
      </c>
      <c r="F2144" s="1807">
        <v>0.25679999999999997</v>
      </c>
      <c r="G2144" s="1801">
        <v>24.64</v>
      </c>
      <c r="H2144" s="1802">
        <f>IF(E2144="H",G2144,TRUNC(G2144*(1-$K$7),2))</f>
        <v>24.64</v>
      </c>
      <c r="I2144" s="1803">
        <f t="shared" si="305"/>
        <v>6.32</v>
      </c>
      <c r="J2144" s="1795"/>
    </row>
    <row r="2145" spans="1:10">
      <c r="A2145" s="1943" t="s">
        <v>2477</v>
      </c>
      <c r="B2145" s="1944"/>
      <c r="C2145" s="1944"/>
      <c r="D2145" s="1944"/>
      <c r="E2145" s="1944"/>
      <c r="F2145" s="1944"/>
      <c r="G2145" s="1944"/>
      <c r="H2145" s="1945"/>
      <c r="I2145" s="1805">
        <f>SUM(I2140:I2144)</f>
        <v>58.01</v>
      </c>
      <c r="J2145" s="1795"/>
    </row>
    <row r="2146" spans="1:10">
      <c r="A2146" s="1929"/>
      <c r="B2146" s="1930"/>
      <c r="C2146" s="1930"/>
      <c r="D2146" s="1930"/>
      <c r="E2146" s="1930"/>
      <c r="F2146" s="1930"/>
      <c r="G2146" s="1930"/>
      <c r="H2146" s="1930"/>
      <c r="I2146" s="1931"/>
      <c r="J2146" s="1795"/>
    </row>
    <row r="2147" spans="1:10" ht="24.75" customHeight="1">
      <c r="A2147" s="1784">
        <f>'PLANILHA SEM DESON'!B322</f>
        <v>89711</v>
      </c>
      <c r="B2147" s="1940" t="str">
        <f>VLOOKUP(A2147,'PLANILHA SEM DESON'!$B$17:$D$1700,2,FALSE)</f>
        <v>TUBO PVC, SERIE NORMAL, ESGOTO PREDIAL, DN 40 MM, FORNECIDO E INSTALADO EM RAMAL DE DESCARGA OU RAMAL DE ESGOTO SANITÁRIO. AF_12/2014_P</v>
      </c>
      <c r="C2147" s="1941"/>
      <c r="D2147" s="1941"/>
      <c r="E2147" s="1941"/>
      <c r="F2147" s="1941"/>
      <c r="G2147" s="1941"/>
      <c r="H2147" s="1942"/>
      <c r="I2147" s="1785" t="str">
        <f>VLOOKUP(A2147,'PLANILHA SEM DESON'!$B$17:$D$1700,3,FALSE)</f>
        <v>m</v>
      </c>
      <c r="J2147" s="1786">
        <f>I2153</f>
        <v>21.03</v>
      </c>
    </row>
    <row r="2148" spans="1:10" ht="24">
      <c r="A2148" s="1788" t="s">
        <v>2470</v>
      </c>
      <c r="B2148" s="1789" t="s">
        <v>2471</v>
      </c>
      <c r="C2148" s="1790" t="s">
        <v>2468</v>
      </c>
      <c r="D2148" s="1791" t="s">
        <v>308</v>
      </c>
      <c r="E2148" s="1790" t="s">
        <v>202</v>
      </c>
      <c r="F2148" s="1792" t="s">
        <v>2472</v>
      </c>
      <c r="G2148" s="1790" t="s">
        <v>2473</v>
      </c>
      <c r="H2148" s="1793" t="s">
        <v>2474</v>
      </c>
      <c r="I2148" s="1794" t="s">
        <v>2475</v>
      </c>
      <c r="J2148" s="1795"/>
    </row>
    <row r="2149" spans="1:10" ht="24">
      <c r="A2149" s="1797" t="s">
        <v>2476</v>
      </c>
      <c r="B2149" s="1798" t="s">
        <v>2479</v>
      </c>
      <c r="C2149" s="1798">
        <v>9835</v>
      </c>
      <c r="D2149" s="1799" t="s">
        <v>2778</v>
      </c>
      <c r="E2149" s="1800" t="s">
        <v>160</v>
      </c>
      <c r="F2149" s="1807">
        <v>1.0548999999999999</v>
      </c>
      <c r="G2149" s="1801">
        <v>7.51</v>
      </c>
      <c r="H2149" s="1802">
        <f>IF(E2149="H",G2149,TRUNC(G2149*(1-$K$7),2))</f>
        <v>7.47</v>
      </c>
      <c r="I2149" s="1803">
        <f t="shared" ref="I2149:I2152" si="306">TRUNC(H2149*F2149,2)</f>
        <v>7.88</v>
      </c>
      <c r="J2149" s="1795"/>
    </row>
    <row r="2150" spans="1:10">
      <c r="A2150" s="1797" t="s">
        <v>2476</v>
      </c>
      <c r="B2150" s="1798" t="s">
        <v>2479</v>
      </c>
      <c r="C2150" s="1798">
        <v>38383</v>
      </c>
      <c r="D2150" s="1799" t="s">
        <v>2607</v>
      </c>
      <c r="E2150" s="1800" t="s">
        <v>2501</v>
      </c>
      <c r="F2150" s="1807">
        <v>1.6299999999999999E-2</v>
      </c>
      <c r="G2150" s="1801">
        <v>2.56</v>
      </c>
      <c r="H2150" s="1802">
        <f>IF(E2150="H",G2150,TRUNC(G2150*(1-$K$7),2))</f>
        <v>2.54</v>
      </c>
      <c r="I2150" s="1803">
        <f t="shared" si="306"/>
        <v>0.04</v>
      </c>
      <c r="J2150" s="1795"/>
    </row>
    <row r="2151" spans="1:10" ht="24">
      <c r="A2151" s="1797" t="s">
        <v>2476</v>
      </c>
      <c r="B2151" s="1798" t="s">
        <v>7</v>
      </c>
      <c r="C2151" s="1798">
        <v>88248</v>
      </c>
      <c r="D2151" s="1799" t="s">
        <v>101</v>
      </c>
      <c r="E2151" s="1800" t="s">
        <v>411</v>
      </c>
      <c r="F2151" s="1807">
        <v>0.29299999999999998</v>
      </c>
      <c r="G2151" s="1801">
        <v>20.16</v>
      </c>
      <c r="H2151" s="1802">
        <f>IF(E2151="H",G2151,TRUNC(G2151*(1-$K$7),2))</f>
        <v>20.16</v>
      </c>
      <c r="I2151" s="1803">
        <f t="shared" si="306"/>
        <v>5.9</v>
      </c>
      <c r="J2151" s="1795"/>
    </row>
    <row r="2152" spans="1:10" ht="24">
      <c r="A2152" s="1797" t="s">
        <v>2476</v>
      </c>
      <c r="B2152" s="1798" t="s">
        <v>7</v>
      </c>
      <c r="C2152" s="1798">
        <v>88267</v>
      </c>
      <c r="D2152" s="1799" t="s">
        <v>102</v>
      </c>
      <c r="E2152" s="1800" t="s">
        <v>411</v>
      </c>
      <c r="F2152" s="1807">
        <v>0.29299999999999998</v>
      </c>
      <c r="G2152" s="1801">
        <v>24.64</v>
      </c>
      <c r="H2152" s="1802">
        <f>IF(E2152="H",G2152,TRUNC(G2152*(1-$K$7),2))</f>
        <v>24.64</v>
      </c>
      <c r="I2152" s="1803">
        <f t="shared" si="306"/>
        <v>7.21</v>
      </c>
      <c r="J2152" s="1795"/>
    </row>
    <row r="2153" spans="1:10">
      <c r="A2153" s="1943" t="s">
        <v>2477</v>
      </c>
      <c r="B2153" s="1944"/>
      <c r="C2153" s="1944"/>
      <c r="D2153" s="1944"/>
      <c r="E2153" s="1944"/>
      <c r="F2153" s="1944"/>
      <c r="G2153" s="1944"/>
      <c r="H2153" s="1945"/>
      <c r="I2153" s="1805">
        <f>SUM(I2149:I2152)</f>
        <v>21.03</v>
      </c>
      <c r="J2153" s="1795"/>
    </row>
    <row r="2154" spans="1:10">
      <c r="A2154" s="1929"/>
      <c r="B2154" s="1930"/>
      <c r="C2154" s="1930"/>
      <c r="D2154" s="1930"/>
      <c r="E2154" s="1930"/>
      <c r="F2154" s="1930"/>
      <c r="G2154" s="1930"/>
      <c r="H2154" s="1930"/>
      <c r="I2154" s="1931"/>
      <c r="J2154" s="1795"/>
    </row>
    <row r="2155" spans="1:10" ht="25.5" customHeight="1">
      <c r="A2155" s="1784">
        <f>'PLANILHA SEM DESON'!B323</f>
        <v>89712</v>
      </c>
      <c r="B2155" s="1940" t="str">
        <f>VLOOKUP(A2155,'PLANILHA SEM DESON'!$B$17:$D$1700,2,FALSE)</f>
        <v>TUBO PVC, SERIE NORMAL, ESGOTO PREDIAL, DN 50 MM, FORNECIDO E INSTALADO EM RAMAL DE DESCARGA OU RAMAL DE ESGOTO SANITÁRIO. AF_12/2014_P</v>
      </c>
      <c r="C2155" s="1941"/>
      <c r="D2155" s="1941"/>
      <c r="E2155" s="1941"/>
      <c r="F2155" s="1941"/>
      <c r="G2155" s="1941"/>
      <c r="H2155" s="1942"/>
      <c r="I2155" s="1785" t="str">
        <f>VLOOKUP(A2155,'PLANILHA SEM DESON'!$B$17:$D$1700,3,FALSE)</f>
        <v>m</v>
      </c>
      <c r="J2155" s="1786">
        <f>I2161</f>
        <v>27.69</v>
      </c>
    </row>
    <row r="2156" spans="1:10" ht="24">
      <c r="A2156" s="1788" t="s">
        <v>2470</v>
      </c>
      <c r="B2156" s="1789" t="s">
        <v>2471</v>
      </c>
      <c r="C2156" s="1790" t="s">
        <v>2468</v>
      </c>
      <c r="D2156" s="1791" t="s">
        <v>308</v>
      </c>
      <c r="E2156" s="1790" t="s">
        <v>202</v>
      </c>
      <c r="F2156" s="1792" t="s">
        <v>2472</v>
      </c>
      <c r="G2156" s="1790" t="s">
        <v>2473</v>
      </c>
      <c r="H2156" s="1793" t="s">
        <v>2474</v>
      </c>
      <c r="I2156" s="1794" t="s">
        <v>2475</v>
      </c>
      <c r="J2156" s="1795"/>
    </row>
    <row r="2157" spans="1:10" ht="24">
      <c r="A2157" s="1797" t="s">
        <v>2476</v>
      </c>
      <c r="B2157" s="1798" t="s">
        <v>2479</v>
      </c>
      <c r="C2157" s="1798">
        <v>9838</v>
      </c>
      <c r="D2157" s="1799" t="s">
        <v>2779</v>
      </c>
      <c r="E2157" s="1800" t="s">
        <v>160</v>
      </c>
      <c r="F2157" s="1807">
        <v>1.0548999999999999</v>
      </c>
      <c r="G2157" s="1801">
        <v>12.78</v>
      </c>
      <c r="H2157" s="1802">
        <f>IF(E2157="H",G2157,TRUNC(G2157*(1-$K$7),2))</f>
        <v>12.71</v>
      </c>
      <c r="I2157" s="1803">
        <f t="shared" ref="I2157:I2160" si="307">TRUNC(H2157*F2157,2)</f>
        <v>13.4</v>
      </c>
      <c r="J2157" s="1795"/>
    </row>
    <row r="2158" spans="1:10">
      <c r="A2158" s="1797" t="s">
        <v>2476</v>
      </c>
      <c r="B2158" s="1798" t="s">
        <v>2479</v>
      </c>
      <c r="C2158" s="1798">
        <v>38383</v>
      </c>
      <c r="D2158" s="1799" t="s">
        <v>2607</v>
      </c>
      <c r="E2158" s="1800" t="s">
        <v>2501</v>
      </c>
      <c r="F2158" s="1807">
        <v>1.77E-2</v>
      </c>
      <c r="G2158" s="1801">
        <v>2.56</v>
      </c>
      <c r="H2158" s="1802">
        <f>IF(E2158="H",G2158,TRUNC(G2158*(1-$K$7),2))</f>
        <v>2.54</v>
      </c>
      <c r="I2158" s="1803">
        <f t="shared" si="307"/>
        <v>0.04</v>
      </c>
      <c r="J2158" s="1795"/>
    </row>
    <row r="2159" spans="1:10" ht="24">
      <c r="A2159" s="1797" t="s">
        <v>2476</v>
      </c>
      <c r="B2159" s="1798" t="s">
        <v>7</v>
      </c>
      <c r="C2159" s="1798">
        <v>88248</v>
      </c>
      <c r="D2159" s="1799" t="s">
        <v>101</v>
      </c>
      <c r="E2159" s="1800" t="s">
        <v>411</v>
      </c>
      <c r="F2159" s="1807">
        <v>0.31819999999999998</v>
      </c>
      <c r="G2159" s="1801">
        <v>20.16</v>
      </c>
      <c r="H2159" s="1802">
        <f>IF(E2159="H",G2159,TRUNC(G2159*(1-$K$7),2))</f>
        <v>20.16</v>
      </c>
      <c r="I2159" s="1803">
        <f t="shared" si="307"/>
        <v>6.41</v>
      </c>
      <c r="J2159" s="1795"/>
    </row>
    <row r="2160" spans="1:10" ht="24">
      <c r="A2160" s="1797" t="s">
        <v>2476</v>
      </c>
      <c r="B2160" s="1798" t="s">
        <v>7</v>
      </c>
      <c r="C2160" s="1798">
        <v>88267</v>
      </c>
      <c r="D2160" s="1799" t="s">
        <v>102</v>
      </c>
      <c r="E2160" s="1800" t="s">
        <v>411</v>
      </c>
      <c r="F2160" s="1807">
        <v>0.31819999999999998</v>
      </c>
      <c r="G2160" s="1801">
        <v>24.64</v>
      </c>
      <c r="H2160" s="1802">
        <f>IF(E2160="H",G2160,TRUNC(G2160*(1-$K$7),2))</f>
        <v>24.64</v>
      </c>
      <c r="I2160" s="1803">
        <f t="shared" si="307"/>
        <v>7.84</v>
      </c>
      <c r="J2160" s="1795"/>
    </row>
    <row r="2161" spans="1:10">
      <c r="A2161" s="1943" t="s">
        <v>2477</v>
      </c>
      <c r="B2161" s="1944"/>
      <c r="C2161" s="1944"/>
      <c r="D2161" s="1944"/>
      <c r="E2161" s="1944"/>
      <c r="F2161" s="1944"/>
      <c r="G2161" s="1944"/>
      <c r="H2161" s="1945"/>
      <c r="I2161" s="1805">
        <f>SUM(I2157:I2160)</f>
        <v>27.69</v>
      </c>
      <c r="J2161" s="1795"/>
    </row>
    <row r="2162" spans="1:10">
      <c r="A2162" s="1929"/>
      <c r="B2162" s="1930"/>
      <c r="C2162" s="1930"/>
      <c r="D2162" s="1930"/>
      <c r="E2162" s="1930"/>
      <c r="F2162" s="1930"/>
      <c r="G2162" s="1930"/>
      <c r="H2162" s="1930"/>
      <c r="I2162" s="1931"/>
      <c r="J2162" s="1795"/>
    </row>
    <row r="2163" spans="1:10" ht="24.75" customHeight="1">
      <c r="A2163" s="1784">
        <f>'PLANILHA SEM DESON'!B324</f>
        <v>89714</v>
      </c>
      <c r="B2163" s="1940" t="str">
        <f>VLOOKUP(A2163,'PLANILHA SEM DESON'!$B$17:$D$1700,2,FALSE)</f>
        <v>TUBO PVC, SERIE NORMAL, ESGOTO PREDIAL, DN 100 MM, FORNECIDO E INSTALADO EM RAMAL DE DESCARGA OU RAMAL DE ESGOTO SANITÁRIO. AF_12/2014_P</v>
      </c>
      <c r="C2163" s="1941"/>
      <c r="D2163" s="1941"/>
      <c r="E2163" s="1941"/>
      <c r="F2163" s="1941"/>
      <c r="G2163" s="1941"/>
      <c r="H2163" s="1942"/>
      <c r="I2163" s="1785" t="str">
        <f>VLOOKUP(A2163,'PLANILHA SEM DESON'!$B$17:$D$1700,3,FALSE)</f>
        <v>m</v>
      </c>
      <c r="J2163" s="1786">
        <f>I2169</f>
        <v>41.8</v>
      </c>
    </row>
    <row r="2164" spans="1:10" ht="24">
      <c r="A2164" s="1788" t="s">
        <v>2470</v>
      </c>
      <c r="B2164" s="1789" t="s">
        <v>2471</v>
      </c>
      <c r="C2164" s="1790" t="s">
        <v>2468</v>
      </c>
      <c r="D2164" s="1791" t="s">
        <v>308</v>
      </c>
      <c r="E2164" s="1790" t="s">
        <v>202</v>
      </c>
      <c r="F2164" s="1792" t="s">
        <v>2472</v>
      </c>
      <c r="G2164" s="1790" t="s">
        <v>2473</v>
      </c>
      <c r="H2164" s="1793" t="s">
        <v>2474</v>
      </c>
      <c r="I2164" s="1794" t="s">
        <v>2475</v>
      </c>
      <c r="J2164" s="1795"/>
    </row>
    <row r="2165" spans="1:10" ht="24">
      <c r="A2165" s="1797" t="s">
        <v>2476</v>
      </c>
      <c r="B2165" s="1798" t="s">
        <v>2479</v>
      </c>
      <c r="C2165" s="1798">
        <v>9836</v>
      </c>
      <c r="D2165" s="1799" t="s">
        <v>2780</v>
      </c>
      <c r="E2165" s="1800" t="s">
        <v>160</v>
      </c>
      <c r="F2165" s="1807">
        <v>1.0548999999999999</v>
      </c>
      <c r="G2165" s="1801">
        <v>20.82</v>
      </c>
      <c r="H2165" s="1802">
        <f>IF(E2165="H",G2165,TRUNC(G2165*(1-$K$7),2))</f>
        <v>20.71</v>
      </c>
      <c r="I2165" s="1803">
        <f t="shared" ref="I2165:I2168" si="308">TRUNC(H2165*F2165,2)</f>
        <v>21.84</v>
      </c>
      <c r="J2165" s="1795"/>
    </row>
    <row r="2166" spans="1:10">
      <c r="A2166" s="1797" t="s">
        <v>2476</v>
      </c>
      <c r="B2166" s="1798" t="s">
        <v>2479</v>
      </c>
      <c r="C2166" s="1798">
        <v>38383</v>
      </c>
      <c r="D2166" s="1799" t="s">
        <v>2607</v>
      </c>
      <c r="E2166" s="1800" t="s">
        <v>2501</v>
      </c>
      <c r="F2166" s="1807">
        <v>2.47E-2</v>
      </c>
      <c r="G2166" s="1801">
        <v>2.56</v>
      </c>
      <c r="H2166" s="1802">
        <f>IF(E2166="H",G2166,TRUNC(G2166*(1-$K$7),2))</f>
        <v>2.54</v>
      </c>
      <c r="I2166" s="1803">
        <f t="shared" si="308"/>
        <v>0.06</v>
      </c>
      <c r="J2166" s="1795"/>
    </row>
    <row r="2167" spans="1:10" ht="24">
      <c r="A2167" s="1797" t="s">
        <v>2476</v>
      </c>
      <c r="B2167" s="1798" t="s">
        <v>7</v>
      </c>
      <c r="C2167" s="1798">
        <v>88248</v>
      </c>
      <c r="D2167" s="1799" t="s">
        <v>101</v>
      </c>
      <c r="E2167" s="1800" t="s">
        <v>411</v>
      </c>
      <c r="F2167" s="1807">
        <v>0.44440000000000002</v>
      </c>
      <c r="G2167" s="1801">
        <v>20.16</v>
      </c>
      <c r="H2167" s="1802">
        <f>IF(E2167="H",G2167,TRUNC(G2167*(1-$K$7),2))</f>
        <v>20.16</v>
      </c>
      <c r="I2167" s="1803">
        <f t="shared" si="308"/>
        <v>8.9499999999999993</v>
      </c>
      <c r="J2167" s="1795"/>
    </row>
    <row r="2168" spans="1:10" ht="24">
      <c r="A2168" s="1797" t="s">
        <v>2476</v>
      </c>
      <c r="B2168" s="1798" t="s">
        <v>7</v>
      </c>
      <c r="C2168" s="1798">
        <v>88267</v>
      </c>
      <c r="D2168" s="1799" t="s">
        <v>102</v>
      </c>
      <c r="E2168" s="1800" t="s">
        <v>411</v>
      </c>
      <c r="F2168" s="1807">
        <v>0.44440000000000002</v>
      </c>
      <c r="G2168" s="1801">
        <v>24.64</v>
      </c>
      <c r="H2168" s="1802">
        <f>IF(E2168="H",G2168,TRUNC(G2168*(1-$K$7),2))</f>
        <v>24.64</v>
      </c>
      <c r="I2168" s="1803">
        <f t="shared" si="308"/>
        <v>10.95</v>
      </c>
      <c r="J2168" s="1795"/>
    </row>
    <row r="2169" spans="1:10">
      <c r="A2169" s="1943" t="s">
        <v>2477</v>
      </c>
      <c r="B2169" s="1944"/>
      <c r="C2169" s="1944"/>
      <c r="D2169" s="1944"/>
      <c r="E2169" s="1944"/>
      <c r="F2169" s="1944"/>
      <c r="G2169" s="1944"/>
      <c r="H2169" s="1945"/>
      <c r="I2169" s="1805">
        <f>SUM(I2165:I2168)</f>
        <v>41.8</v>
      </c>
      <c r="J2169" s="1795"/>
    </row>
    <row r="2170" spans="1:10">
      <c r="A2170" s="1929"/>
      <c r="B2170" s="1930"/>
      <c r="C2170" s="1930"/>
      <c r="D2170" s="1930"/>
      <c r="E2170" s="1930"/>
      <c r="F2170" s="1930"/>
      <c r="G2170" s="1930"/>
      <c r="H2170" s="1930"/>
      <c r="I2170" s="1931"/>
      <c r="J2170" s="1795"/>
    </row>
    <row r="2171" spans="1:10" ht="35.25" customHeight="1">
      <c r="A2171" s="1784">
        <f>'PLANILHA SEM DESON'!B325</f>
        <v>91794</v>
      </c>
      <c r="B2171" s="1940" t="str">
        <f>VLOOKUP(A2171,'PLANILHA SEM DESON'!$B$17:$D$1700,2,FALSE)</f>
        <v>COMPOSIÇÃO REPRESENTATIVA) DO SERVIÇO DE INST. TUBO PVC, SÉRIE N, ESGOTO PREDIAL, DN 75 MM, (INST. EM RAMAL DE DESCARGA, RAMAL DE ESG. SANITÁRIO, PRUMADA DE ESG. SANITÁRIO OU VENTILAÇÃO), INCL. CONEXÕES, CORTES E FIXAÇÕES, P/ PRÉDIOS. AF_10/2015</v>
      </c>
      <c r="C2171" s="1941"/>
      <c r="D2171" s="1941"/>
      <c r="E2171" s="1941"/>
      <c r="F2171" s="1941"/>
      <c r="G2171" s="1941"/>
      <c r="H2171" s="1942"/>
      <c r="I2171" s="1785" t="str">
        <f>VLOOKUP(A2171,'PLANILHA SEM DESON'!$B$17:$D$1700,3,FALSE)</f>
        <v>m</v>
      </c>
      <c r="J2171" s="1786">
        <f>I2189</f>
        <v>49.759999999999991</v>
      </c>
    </row>
    <row r="2172" spans="1:10" ht="24">
      <c r="A2172" s="1788" t="s">
        <v>2470</v>
      </c>
      <c r="B2172" s="1789" t="s">
        <v>2471</v>
      </c>
      <c r="C2172" s="1790" t="s">
        <v>2468</v>
      </c>
      <c r="D2172" s="1791" t="s">
        <v>308</v>
      </c>
      <c r="E2172" s="1790" t="s">
        <v>202</v>
      </c>
      <c r="F2172" s="1792" t="s">
        <v>2472</v>
      </c>
      <c r="G2172" s="1790" t="s">
        <v>2473</v>
      </c>
      <c r="H2172" s="1793" t="s">
        <v>2474</v>
      </c>
      <c r="I2172" s="1794" t="s">
        <v>2475</v>
      </c>
      <c r="J2172" s="1795"/>
    </row>
    <row r="2173" spans="1:10" ht="36">
      <c r="A2173" s="1797" t="s">
        <v>2476</v>
      </c>
      <c r="B2173" s="1798" t="s">
        <v>7</v>
      </c>
      <c r="C2173" s="1798">
        <v>89713</v>
      </c>
      <c r="D2173" s="1799" t="s">
        <v>2781</v>
      </c>
      <c r="E2173" s="1800" t="s">
        <v>160</v>
      </c>
      <c r="F2173" s="1807">
        <v>0.1099</v>
      </c>
      <c r="G2173" s="1801">
        <v>36.58</v>
      </c>
      <c r="H2173" s="1802">
        <f t="shared" ref="H2173:H2188" si="309">IF(E2173="H",G2173,TRUNC(G2173*(1-$K$7),2))</f>
        <v>36.39</v>
      </c>
      <c r="I2173" s="1803">
        <f t="shared" ref="I2173:I2188" si="310">TRUNC(H2173*F2173,2)</f>
        <v>3.99</v>
      </c>
      <c r="J2173" s="1795"/>
    </row>
    <row r="2174" spans="1:10" ht="48">
      <c r="A2174" s="1797" t="s">
        <v>2476</v>
      </c>
      <c r="B2174" s="1798" t="s">
        <v>7</v>
      </c>
      <c r="C2174" s="1798">
        <v>89737</v>
      </c>
      <c r="D2174" s="1799" t="s">
        <v>2782</v>
      </c>
      <c r="E2174" s="1800" t="s">
        <v>2501</v>
      </c>
      <c r="F2174" s="1807">
        <v>6.3500000000000001E-2</v>
      </c>
      <c r="G2174" s="1801">
        <v>24.9</v>
      </c>
      <c r="H2174" s="1802">
        <f t="shared" si="309"/>
        <v>24.77</v>
      </c>
      <c r="I2174" s="1803">
        <f t="shared" ref="I2174:I2182" si="311">TRUNC(H2174*F2174,2)</f>
        <v>1.57</v>
      </c>
      <c r="J2174" s="1795"/>
    </row>
    <row r="2175" spans="1:10" ht="48">
      <c r="A2175" s="1797" t="s">
        <v>2476</v>
      </c>
      <c r="B2175" s="1798" t="s">
        <v>7</v>
      </c>
      <c r="C2175" s="1798">
        <v>89739</v>
      </c>
      <c r="D2175" s="1799" t="s">
        <v>2783</v>
      </c>
      <c r="E2175" s="1800" t="s">
        <v>2501</v>
      </c>
      <c r="F2175" s="1807">
        <v>7.2099999999999997E-2</v>
      </c>
      <c r="G2175" s="1801">
        <v>26.15</v>
      </c>
      <c r="H2175" s="1802">
        <f t="shared" si="309"/>
        <v>26.01</v>
      </c>
      <c r="I2175" s="1803">
        <f t="shared" si="311"/>
        <v>1.87</v>
      </c>
      <c r="J2175" s="1795"/>
    </row>
    <row r="2176" spans="1:10" ht="48">
      <c r="A2176" s="1797" t="s">
        <v>2476</v>
      </c>
      <c r="B2176" s="1798" t="s">
        <v>7</v>
      </c>
      <c r="C2176" s="1798">
        <v>89774</v>
      </c>
      <c r="D2176" s="1799" t="s">
        <v>2784</v>
      </c>
      <c r="E2176" s="1800" t="s">
        <v>2501</v>
      </c>
      <c r="F2176" s="1807">
        <v>4.2200000000000001E-2</v>
      </c>
      <c r="G2176" s="1801">
        <v>16.36</v>
      </c>
      <c r="H2176" s="1802">
        <f t="shared" si="309"/>
        <v>16.27</v>
      </c>
      <c r="I2176" s="1803">
        <f t="shared" si="311"/>
        <v>0.68</v>
      </c>
      <c r="J2176" s="1795"/>
    </row>
    <row r="2177" spans="1:10" ht="48">
      <c r="A2177" s="1797" t="s">
        <v>2476</v>
      </c>
      <c r="B2177" s="1798" t="s">
        <v>7</v>
      </c>
      <c r="C2177" s="1798">
        <v>89786</v>
      </c>
      <c r="D2177" s="1799" t="s">
        <v>2785</v>
      </c>
      <c r="E2177" s="1800" t="s">
        <v>2501</v>
      </c>
      <c r="F2177" s="1807">
        <v>2.0400000000000001E-2</v>
      </c>
      <c r="G2177" s="1801">
        <v>42.32</v>
      </c>
      <c r="H2177" s="1802">
        <f t="shared" si="309"/>
        <v>42.1</v>
      </c>
      <c r="I2177" s="1803">
        <f t="shared" si="311"/>
        <v>0.85</v>
      </c>
      <c r="J2177" s="1795"/>
    </row>
    <row r="2178" spans="1:10" ht="48">
      <c r="A2178" s="1797" t="s">
        <v>2476</v>
      </c>
      <c r="B2178" s="1798" t="s">
        <v>7</v>
      </c>
      <c r="C2178" s="1798">
        <v>89795</v>
      </c>
      <c r="D2178" s="1799" t="s">
        <v>2786</v>
      </c>
      <c r="E2178" s="1800" t="s">
        <v>2501</v>
      </c>
      <c r="F2178" s="1807">
        <v>2.7799999999999998E-2</v>
      </c>
      <c r="G2178" s="1801">
        <v>45.75</v>
      </c>
      <c r="H2178" s="1802">
        <f t="shared" si="309"/>
        <v>45.51</v>
      </c>
      <c r="I2178" s="1803">
        <f t="shared" si="311"/>
        <v>1.26</v>
      </c>
      <c r="J2178" s="1795"/>
    </row>
    <row r="2179" spans="1:10" ht="36">
      <c r="A2179" s="1797" t="s">
        <v>2476</v>
      </c>
      <c r="B2179" s="1798" t="s">
        <v>7</v>
      </c>
      <c r="C2179" s="1798">
        <v>89799</v>
      </c>
      <c r="D2179" s="1799" t="s">
        <v>2787</v>
      </c>
      <c r="E2179" s="1800" t="s">
        <v>160</v>
      </c>
      <c r="F2179" s="1807">
        <v>0.8901</v>
      </c>
      <c r="G2179" s="1801">
        <v>26.3</v>
      </c>
      <c r="H2179" s="1802">
        <f t="shared" si="309"/>
        <v>26.16</v>
      </c>
      <c r="I2179" s="1803">
        <f t="shared" si="311"/>
        <v>23.28</v>
      </c>
      <c r="J2179" s="1795"/>
    </row>
    <row r="2180" spans="1:10" ht="48">
      <c r="A2180" s="1797" t="s">
        <v>2476</v>
      </c>
      <c r="B2180" s="1798" t="s">
        <v>7</v>
      </c>
      <c r="C2180" s="1798">
        <v>89806</v>
      </c>
      <c r="D2180" s="1799" t="s">
        <v>2788</v>
      </c>
      <c r="E2180" s="1800" t="s">
        <v>2501</v>
      </c>
      <c r="F2180" s="1807">
        <v>2.4199999999999999E-2</v>
      </c>
      <c r="G2180" s="1801">
        <v>24.37</v>
      </c>
      <c r="H2180" s="1802">
        <f t="shared" si="309"/>
        <v>24.24</v>
      </c>
      <c r="I2180" s="1803">
        <f t="shared" si="311"/>
        <v>0.57999999999999996</v>
      </c>
      <c r="J2180" s="1795"/>
    </row>
    <row r="2181" spans="1:10" ht="48">
      <c r="A2181" s="1797" t="s">
        <v>2476</v>
      </c>
      <c r="B2181" s="1798" t="s">
        <v>7</v>
      </c>
      <c r="C2181" s="1798">
        <v>89807</v>
      </c>
      <c r="D2181" s="1799" t="s">
        <v>2789</v>
      </c>
      <c r="E2181" s="1800" t="s">
        <v>2501</v>
      </c>
      <c r="F2181" s="1807">
        <v>6.4999999999999997E-3</v>
      </c>
      <c r="G2181" s="1801">
        <v>41.05</v>
      </c>
      <c r="H2181" s="1802">
        <f t="shared" si="309"/>
        <v>40.840000000000003</v>
      </c>
      <c r="I2181" s="1803">
        <f t="shared" si="311"/>
        <v>0.26</v>
      </c>
      <c r="J2181" s="1795"/>
    </row>
    <row r="2182" spans="1:10" ht="48">
      <c r="A2182" s="1797" t="s">
        <v>2476</v>
      </c>
      <c r="B2182" s="1798" t="s">
        <v>7</v>
      </c>
      <c r="C2182" s="1798">
        <v>89817</v>
      </c>
      <c r="D2182" s="1799" t="s">
        <v>2790</v>
      </c>
      <c r="E2182" s="1800" t="s">
        <v>2501</v>
      </c>
      <c r="F2182" s="1807">
        <v>0.2329</v>
      </c>
      <c r="G2182" s="1801">
        <v>15.13</v>
      </c>
      <c r="H2182" s="1802">
        <f t="shared" si="309"/>
        <v>15.05</v>
      </c>
      <c r="I2182" s="1803">
        <f t="shared" si="311"/>
        <v>3.5</v>
      </c>
      <c r="J2182" s="1795"/>
    </row>
    <row r="2183" spans="1:10" ht="48">
      <c r="A2183" s="1797" t="s">
        <v>2476</v>
      </c>
      <c r="B2183" s="1798" t="s">
        <v>7</v>
      </c>
      <c r="C2183" s="1798">
        <v>89829</v>
      </c>
      <c r="D2183" s="1799" t="s">
        <v>2791</v>
      </c>
      <c r="E2183" s="1800" t="s">
        <v>2501</v>
      </c>
      <c r="F2183" s="1807">
        <v>3.9899999999999998E-2</v>
      </c>
      <c r="G2183" s="1801">
        <v>39.950000000000003</v>
      </c>
      <c r="H2183" s="1802">
        <f t="shared" si="309"/>
        <v>39.74</v>
      </c>
      <c r="I2183" s="1803">
        <f t="shared" si="310"/>
        <v>1.58</v>
      </c>
      <c r="J2183" s="1795"/>
    </row>
    <row r="2184" spans="1:10" ht="48">
      <c r="A2184" s="1797" t="s">
        <v>2476</v>
      </c>
      <c r="B2184" s="1798" t="s">
        <v>7</v>
      </c>
      <c r="C2184" s="1798">
        <v>89830</v>
      </c>
      <c r="D2184" s="1799" t="s">
        <v>2792</v>
      </c>
      <c r="E2184" s="1800" t="s">
        <v>2501</v>
      </c>
      <c r="F2184" s="1807">
        <v>0.126</v>
      </c>
      <c r="G2184" s="1801">
        <v>43.38</v>
      </c>
      <c r="H2184" s="1802">
        <f t="shared" si="309"/>
        <v>43.15</v>
      </c>
      <c r="I2184" s="1803">
        <f t="shared" si="310"/>
        <v>5.43</v>
      </c>
      <c r="J2184" s="1795"/>
    </row>
    <row r="2185" spans="1:10" ht="24">
      <c r="A2185" s="1797" t="s">
        <v>2476</v>
      </c>
      <c r="B2185" s="1798" t="s">
        <v>7</v>
      </c>
      <c r="C2185" s="1798">
        <v>90437</v>
      </c>
      <c r="D2185" s="1799" t="s">
        <v>2793</v>
      </c>
      <c r="E2185" s="1800" t="s">
        <v>2501</v>
      </c>
      <c r="F2185" s="1807">
        <v>9.8400000000000001E-2</v>
      </c>
      <c r="G2185" s="1801">
        <v>33.32</v>
      </c>
      <c r="H2185" s="1802">
        <f t="shared" si="309"/>
        <v>33.15</v>
      </c>
      <c r="I2185" s="1803">
        <f t="shared" si="310"/>
        <v>3.26</v>
      </c>
      <c r="J2185" s="1795"/>
    </row>
    <row r="2186" spans="1:10" ht="36">
      <c r="A2186" s="1797" t="s">
        <v>2476</v>
      </c>
      <c r="B2186" s="1798" t="s">
        <v>7</v>
      </c>
      <c r="C2186" s="1798">
        <v>90454</v>
      </c>
      <c r="D2186" s="1799" t="s">
        <v>2794</v>
      </c>
      <c r="E2186" s="1800" t="s">
        <v>2501</v>
      </c>
      <c r="F2186" s="1807">
        <v>0.1661</v>
      </c>
      <c r="G2186" s="1801">
        <v>5.68</v>
      </c>
      <c r="H2186" s="1802">
        <f t="shared" si="309"/>
        <v>5.65</v>
      </c>
      <c r="I2186" s="1803">
        <f t="shared" si="310"/>
        <v>0.93</v>
      </c>
      <c r="J2186" s="1795"/>
    </row>
    <row r="2187" spans="1:10" ht="60">
      <c r="A2187" s="1797" t="s">
        <v>2476</v>
      </c>
      <c r="B2187" s="1798" t="s">
        <v>7</v>
      </c>
      <c r="C2187" s="1798">
        <v>91186</v>
      </c>
      <c r="D2187" s="1799" t="s">
        <v>2795</v>
      </c>
      <c r="E2187" s="1800" t="s">
        <v>160</v>
      </c>
      <c r="F2187" s="1807">
        <v>3.8199999999999998E-2</v>
      </c>
      <c r="G2187" s="1801">
        <v>5.67</v>
      </c>
      <c r="H2187" s="1802">
        <f t="shared" si="309"/>
        <v>5.64</v>
      </c>
      <c r="I2187" s="1803">
        <f t="shared" si="310"/>
        <v>0.21</v>
      </c>
      <c r="J2187" s="1795"/>
    </row>
    <row r="2188" spans="1:10" ht="24">
      <c r="A2188" s="1797" t="s">
        <v>2476</v>
      </c>
      <c r="B2188" s="1798" t="s">
        <v>7</v>
      </c>
      <c r="C2188" s="1798">
        <v>91191</v>
      </c>
      <c r="D2188" s="1799" t="s">
        <v>2796</v>
      </c>
      <c r="E2188" s="1800" t="s">
        <v>2501</v>
      </c>
      <c r="F2188" s="1807">
        <v>9.8400000000000001E-2</v>
      </c>
      <c r="G2188" s="1801">
        <v>5.3</v>
      </c>
      <c r="H2188" s="1802">
        <f t="shared" si="309"/>
        <v>5.27</v>
      </c>
      <c r="I2188" s="1803">
        <f t="shared" si="310"/>
        <v>0.51</v>
      </c>
      <c r="J2188" s="1795"/>
    </row>
    <row r="2189" spans="1:10">
      <c r="A2189" s="1943" t="s">
        <v>2477</v>
      </c>
      <c r="B2189" s="1944"/>
      <c r="C2189" s="1944"/>
      <c r="D2189" s="1944"/>
      <c r="E2189" s="1944"/>
      <c r="F2189" s="1944"/>
      <c r="G2189" s="1944"/>
      <c r="H2189" s="1945"/>
      <c r="I2189" s="1805">
        <f>SUM(I2173:I2188)</f>
        <v>49.759999999999991</v>
      </c>
      <c r="J2189" s="1795"/>
    </row>
    <row r="2190" spans="1:10">
      <c r="A2190" s="1929"/>
      <c r="B2190" s="1930"/>
      <c r="C2190" s="1930"/>
      <c r="D2190" s="1930"/>
      <c r="E2190" s="1930"/>
      <c r="F2190" s="1930"/>
      <c r="G2190" s="1930"/>
      <c r="H2190" s="1930"/>
      <c r="I2190" s="1931"/>
      <c r="J2190" s="1795"/>
    </row>
    <row r="2191" spans="1:10" ht="24" customHeight="1">
      <c r="A2191" s="1784">
        <f>'PLANILHA SEM DESON'!B326</f>
        <v>89784</v>
      </c>
      <c r="B2191" s="1940" t="str">
        <f>VLOOKUP(A2191,'PLANILHA SEM DESON'!$B$17:$D$1700,2,FALSE)</f>
        <v>TE, PVC, SERIE NORMAL, ESGOTO PREDIAL, DN 50 X 50 MM, JUNTA ELÁSTICA, FORNECIDO E INSTALADO EM RAMAL DE DESCARGA OU RAMAL DE ESGOTO SANITÁRIO.AF_12/2014</v>
      </c>
      <c r="C2191" s="1941"/>
      <c r="D2191" s="1941"/>
      <c r="E2191" s="1941"/>
      <c r="F2191" s="1941"/>
      <c r="G2191" s="1941"/>
      <c r="H2191" s="1942"/>
      <c r="I2191" s="1785" t="str">
        <f>VLOOKUP(A2191,'PLANILHA SEM DESON'!$B$17:$D$1700,3,FALSE)</f>
        <v xml:space="preserve">un </v>
      </c>
      <c r="J2191" s="1786">
        <f>I2198</f>
        <v>26.509999999999998</v>
      </c>
    </row>
    <row r="2192" spans="1:10" ht="24">
      <c r="A2192" s="1788" t="s">
        <v>2470</v>
      </c>
      <c r="B2192" s="1789" t="s">
        <v>2471</v>
      </c>
      <c r="C2192" s="1790" t="s">
        <v>2468</v>
      </c>
      <c r="D2192" s="1791" t="s">
        <v>308</v>
      </c>
      <c r="E2192" s="1790" t="s">
        <v>202</v>
      </c>
      <c r="F2192" s="1792" t="s">
        <v>2472</v>
      </c>
      <c r="G2192" s="1790" t="s">
        <v>2473</v>
      </c>
      <c r="H2192" s="1793" t="s">
        <v>2474</v>
      </c>
      <c r="I2192" s="1794" t="s">
        <v>2475</v>
      </c>
      <c r="J2192" s="1795"/>
    </row>
    <row r="2193" spans="1:10" ht="24">
      <c r="A2193" s="1797" t="s">
        <v>2476</v>
      </c>
      <c r="B2193" s="1798" t="s">
        <v>2479</v>
      </c>
      <c r="C2193" s="1798">
        <v>296</v>
      </c>
      <c r="D2193" s="1799" t="s">
        <v>2767</v>
      </c>
      <c r="E2193" s="1800" t="s">
        <v>2501</v>
      </c>
      <c r="F2193" s="1807">
        <v>3</v>
      </c>
      <c r="G2193" s="1801">
        <v>1.98</v>
      </c>
      <c r="H2193" s="1802">
        <f>IF(E2193="H",G2193,TRUNC(G2193*(1-$K$7),2))</f>
        <v>1.96</v>
      </c>
      <c r="I2193" s="1803">
        <f t="shared" ref="I2193:I2197" si="312">TRUNC(H2193*F2193,2)</f>
        <v>5.88</v>
      </c>
      <c r="J2193" s="1795"/>
    </row>
    <row r="2194" spans="1:10" ht="24">
      <c r="A2194" s="1797" t="s">
        <v>2476</v>
      </c>
      <c r="B2194" s="1798" t="s">
        <v>2479</v>
      </c>
      <c r="C2194" s="1798">
        <v>7097</v>
      </c>
      <c r="D2194" s="1799" t="s">
        <v>2797</v>
      </c>
      <c r="E2194" s="1800" t="s">
        <v>2501</v>
      </c>
      <c r="F2194" s="1807">
        <v>1</v>
      </c>
      <c r="G2194" s="1801">
        <v>10.1</v>
      </c>
      <c r="H2194" s="1802">
        <f>IF(E2194="H",G2194,TRUNC(G2194*(1-$K$7),2))</f>
        <v>10.039999999999999</v>
      </c>
      <c r="I2194" s="1803">
        <f t="shared" si="312"/>
        <v>10.039999999999999</v>
      </c>
      <c r="J2194" s="1795"/>
    </row>
    <row r="2195" spans="1:10" ht="36">
      <c r="A2195" s="1797" t="s">
        <v>2476</v>
      </c>
      <c r="B2195" s="1798" t="s">
        <v>2479</v>
      </c>
      <c r="C2195" s="1798">
        <v>20078</v>
      </c>
      <c r="D2195" s="1799" t="s">
        <v>2769</v>
      </c>
      <c r="E2195" s="1800" t="s">
        <v>2501</v>
      </c>
      <c r="F2195" s="1807">
        <v>7.4999999999999997E-2</v>
      </c>
      <c r="G2195" s="1801">
        <v>31.72</v>
      </c>
      <c r="H2195" s="1802">
        <f>IF(E2195="H",G2195,TRUNC(G2195*(1-$K$7),2))</f>
        <v>31.55</v>
      </c>
      <c r="I2195" s="1803">
        <f t="shared" si="312"/>
        <v>2.36</v>
      </c>
      <c r="J2195" s="1795"/>
    </row>
    <row r="2196" spans="1:10" ht="24">
      <c r="A2196" s="1797" t="s">
        <v>2476</v>
      </c>
      <c r="B2196" s="1798" t="s">
        <v>7</v>
      </c>
      <c r="C2196" s="1798">
        <v>88248</v>
      </c>
      <c r="D2196" s="1799" t="s">
        <v>101</v>
      </c>
      <c r="E2196" s="1800" t="s">
        <v>411</v>
      </c>
      <c r="F2196" s="1807">
        <v>0.18390000000000001</v>
      </c>
      <c r="G2196" s="1801">
        <v>20.16</v>
      </c>
      <c r="H2196" s="1802">
        <f>IF(E2196="H",G2196,TRUNC(G2196*(1-$K$7),2))</f>
        <v>20.16</v>
      </c>
      <c r="I2196" s="1803">
        <f t="shared" si="312"/>
        <v>3.7</v>
      </c>
      <c r="J2196" s="1795"/>
    </row>
    <row r="2197" spans="1:10" ht="24">
      <c r="A2197" s="1797" t="s">
        <v>2476</v>
      </c>
      <c r="B2197" s="1798" t="s">
        <v>7</v>
      </c>
      <c r="C2197" s="1798">
        <v>88267</v>
      </c>
      <c r="D2197" s="1799" t="s">
        <v>102</v>
      </c>
      <c r="E2197" s="1800" t="s">
        <v>411</v>
      </c>
      <c r="F2197" s="1807">
        <v>0.18390000000000001</v>
      </c>
      <c r="G2197" s="1801">
        <v>24.64</v>
      </c>
      <c r="H2197" s="1802">
        <f>IF(E2197="H",G2197,TRUNC(G2197*(1-$K$7),2))</f>
        <v>24.64</v>
      </c>
      <c r="I2197" s="1803">
        <f t="shared" si="312"/>
        <v>4.53</v>
      </c>
      <c r="J2197" s="1795"/>
    </row>
    <row r="2198" spans="1:10">
      <c r="A2198" s="1943" t="s">
        <v>2477</v>
      </c>
      <c r="B2198" s="1944"/>
      <c r="C2198" s="1944"/>
      <c r="D2198" s="1944"/>
      <c r="E2198" s="1944"/>
      <c r="F2198" s="1944"/>
      <c r="G2198" s="1944"/>
      <c r="H2198" s="1945"/>
      <c r="I2198" s="1805">
        <f>SUM(I2193:I2197)</f>
        <v>26.509999999999998</v>
      </c>
      <c r="J2198" s="1795"/>
    </row>
    <row r="2199" spans="1:10">
      <c r="A2199" s="1929"/>
      <c r="B2199" s="1930"/>
      <c r="C2199" s="1930"/>
      <c r="D2199" s="1930"/>
      <c r="E2199" s="1930"/>
      <c r="F2199" s="1930"/>
      <c r="G2199" s="1930"/>
      <c r="H2199" s="1930"/>
      <c r="I2199" s="1931"/>
      <c r="J2199" s="1795"/>
    </row>
    <row r="2200" spans="1:10" ht="24.75" customHeight="1">
      <c r="A2200" s="1784" t="str">
        <f>'PLANILHA SEM DESON'!B327</f>
        <v>COMP HIDR 17</v>
      </c>
      <c r="B2200" s="1940" t="str">
        <f>VLOOKUP(A2200,'PLANILHA SEM DESON'!$B$17:$D$1700,2,FALSE)</f>
        <v xml:space="preserve">TE DE REDUÇÃO, PVC, SOLDÁVEL, DN 100MM X 75MM,FORNECIMENTO E INSTALAÇÃO. </v>
      </c>
      <c r="C2200" s="1941"/>
      <c r="D2200" s="1941"/>
      <c r="E2200" s="1941"/>
      <c r="F2200" s="1941"/>
      <c r="G2200" s="1941"/>
      <c r="H2200" s="1942"/>
      <c r="I2200" s="1785" t="str">
        <f>VLOOKUP(A2200,'PLANILHA SEM DESON'!$B$17:$D$1700,3,FALSE)</f>
        <v xml:space="preserve">un </v>
      </c>
      <c r="J2200" s="1786">
        <f>I2207</f>
        <v>63.320000000000007</v>
      </c>
    </row>
    <row r="2201" spans="1:10" ht="24">
      <c r="A2201" s="1788" t="s">
        <v>2470</v>
      </c>
      <c r="B2201" s="1789" t="s">
        <v>2471</v>
      </c>
      <c r="C2201" s="1790" t="s">
        <v>2468</v>
      </c>
      <c r="D2201" s="1791" t="s">
        <v>308</v>
      </c>
      <c r="E2201" s="1790" t="s">
        <v>202</v>
      </c>
      <c r="F2201" s="1792" t="s">
        <v>2472</v>
      </c>
      <c r="G2201" s="1790" t="s">
        <v>2473</v>
      </c>
      <c r="H2201" s="1793" t="s">
        <v>2474</v>
      </c>
      <c r="I2201" s="1794" t="s">
        <v>2475</v>
      </c>
      <c r="J2201" s="1795"/>
    </row>
    <row r="2202" spans="1:10" ht="24">
      <c r="A2202" s="1797"/>
      <c r="B2202" s="1798"/>
      <c r="C2202" s="1798" t="s">
        <v>461</v>
      </c>
      <c r="D2202" s="1799" t="s">
        <v>101</v>
      </c>
      <c r="E2202" s="1800" t="s">
        <v>57</v>
      </c>
      <c r="F2202" s="1817">
        <v>0.55000000000000004</v>
      </c>
      <c r="G2202" s="1808">
        <v>20.16</v>
      </c>
      <c r="H2202" s="1802">
        <f>IF(E2202="H",G2202,TRUNC(G2202*(1-$K$7),2))</f>
        <v>20.16</v>
      </c>
      <c r="I2202" s="1803">
        <f t="shared" ref="I2202:I2206" si="313">TRUNC(H2202*F2202,2)</f>
        <v>11.08</v>
      </c>
      <c r="J2202" s="1795"/>
    </row>
    <row r="2203" spans="1:10" ht="24">
      <c r="A2203" s="1797"/>
      <c r="B2203" s="1798"/>
      <c r="C2203" s="1798" t="s">
        <v>462</v>
      </c>
      <c r="D2203" s="1799" t="s">
        <v>102</v>
      </c>
      <c r="E2203" s="1800" t="s">
        <v>57</v>
      </c>
      <c r="F2203" s="1817">
        <v>0.55000000000000004</v>
      </c>
      <c r="G2203" s="1808">
        <v>24.64</v>
      </c>
      <c r="H2203" s="1802">
        <f>IF(E2203="H",G2203,TRUNC(G2203*(1-$K$7),2))</f>
        <v>24.64</v>
      </c>
      <c r="I2203" s="1803">
        <f t="shared" si="313"/>
        <v>13.55</v>
      </c>
      <c r="J2203" s="1795"/>
    </row>
    <row r="2204" spans="1:10">
      <c r="A2204" s="1797"/>
      <c r="B2204" s="1798"/>
      <c r="C2204" s="1798">
        <v>122</v>
      </c>
      <c r="D2204" s="1799" t="s">
        <v>125</v>
      </c>
      <c r="E2204" s="1800" t="s">
        <v>100</v>
      </c>
      <c r="F2204" s="1817">
        <v>7.6999999999999999E-2</v>
      </c>
      <c r="G2204" s="1806">
        <v>76.86</v>
      </c>
      <c r="H2204" s="1802">
        <f>IF(E2204="H",G2204,TRUNC(G2204*(1-$K$7),2))</f>
        <v>76.459999999999994</v>
      </c>
      <c r="I2204" s="1803">
        <f t="shared" si="313"/>
        <v>5.88</v>
      </c>
      <c r="J2204" s="1795"/>
    </row>
    <row r="2205" spans="1:10" ht="24">
      <c r="A2205" s="1797"/>
      <c r="B2205" s="1798"/>
      <c r="C2205" s="1798">
        <v>20083</v>
      </c>
      <c r="D2205" s="1799" t="s">
        <v>126</v>
      </c>
      <c r="E2205" s="1800" t="s">
        <v>455</v>
      </c>
      <c r="F2205" s="1817">
        <v>0.11799999999999999</v>
      </c>
      <c r="G2205" s="1806">
        <v>87.08</v>
      </c>
      <c r="H2205" s="1802">
        <f>IF(E2205="H",G2205,TRUNC(G2205*(1-$K$7),2))</f>
        <v>86.63</v>
      </c>
      <c r="I2205" s="1803">
        <f t="shared" si="313"/>
        <v>10.220000000000001</v>
      </c>
      <c r="J2205" s="1795"/>
    </row>
    <row r="2206" spans="1:10" ht="24">
      <c r="A2206" s="1797"/>
      <c r="B2206" s="1798"/>
      <c r="C2206" s="1798">
        <v>11656</v>
      </c>
      <c r="D2206" s="1799" t="s">
        <v>2000</v>
      </c>
      <c r="E2206" s="1800" t="s">
        <v>55</v>
      </c>
      <c r="F2206" s="1817">
        <v>1</v>
      </c>
      <c r="G2206" s="1806">
        <v>22.71</v>
      </c>
      <c r="H2206" s="1802">
        <f>IF(E2206="H",G2206,TRUNC(G2206*(1-$K$7),2))</f>
        <v>22.59</v>
      </c>
      <c r="I2206" s="1803">
        <f t="shared" si="313"/>
        <v>22.59</v>
      </c>
      <c r="J2206" s="1795"/>
    </row>
    <row r="2207" spans="1:10">
      <c r="A2207" s="1943" t="s">
        <v>2477</v>
      </c>
      <c r="B2207" s="1944"/>
      <c r="C2207" s="1944"/>
      <c r="D2207" s="1944"/>
      <c r="E2207" s="1944"/>
      <c r="F2207" s="1944"/>
      <c r="G2207" s="1944"/>
      <c r="H2207" s="1945"/>
      <c r="I2207" s="1805">
        <f>SUM(I2202:I2206)</f>
        <v>63.320000000000007</v>
      </c>
      <c r="J2207" s="1795"/>
    </row>
    <row r="2208" spans="1:10">
      <c r="A2208" s="1929"/>
      <c r="B2208" s="1930"/>
      <c r="C2208" s="1930"/>
      <c r="D2208" s="1930"/>
      <c r="E2208" s="1930"/>
      <c r="F2208" s="1930"/>
      <c r="G2208" s="1930"/>
      <c r="H2208" s="1930"/>
      <c r="I2208" s="1931"/>
      <c r="J2208" s="1795"/>
    </row>
    <row r="2209" spans="1:10" ht="24" customHeight="1">
      <c r="A2209" s="1784" t="str">
        <f>'PLANILHA SEM DESON'!B328</f>
        <v>COMP HIDR 20</v>
      </c>
      <c r="B2209" s="1940" t="str">
        <f>VLOOKUP(A2209,'PLANILHA SEM DESON'!$B$17:$D$1700,2,FALSE)</f>
        <v>TERMINAL DE VENTILACAO, 50 MM, SERIE NORMAL, ESGOTO PREDIAL</v>
      </c>
      <c r="C2209" s="1941"/>
      <c r="D2209" s="1941"/>
      <c r="E2209" s="1941"/>
      <c r="F2209" s="1941"/>
      <c r="G2209" s="1941"/>
      <c r="H2209" s="1942"/>
      <c r="I2209" s="1785" t="str">
        <f>VLOOKUP(A2209,'PLANILHA SEM DESON'!$B$17:$D$1700,3,FALSE)</f>
        <v xml:space="preserve">un </v>
      </c>
      <c r="J2209" s="1786">
        <f>I2216</f>
        <v>14.41</v>
      </c>
    </row>
    <row r="2210" spans="1:10" ht="24">
      <c r="A2210" s="1788" t="s">
        <v>2470</v>
      </c>
      <c r="B2210" s="1789" t="s">
        <v>2471</v>
      </c>
      <c r="C2210" s="1790" t="s">
        <v>2468</v>
      </c>
      <c r="D2210" s="1791" t="s">
        <v>308</v>
      </c>
      <c r="E2210" s="1790" t="s">
        <v>202</v>
      </c>
      <c r="F2210" s="1792" t="s">
        <v>2472</v>
      </c>
      <c r="G2210" s="1790" t="s">
        <v>2473</v>
      </c>
      <c r="H2210" s="1793" t="s">
        <v>2474</v>
      </c>
      <c r="I2210" s="1794" t="s">
        <v>2475</v>
      </c>
      <c r="J2210" s="1795"/>
    </row>
    <row r="2211" spans="1:10" ht="24">
      <c r="A2211" s="1797"/>
      <c r="B2211" s="1798"/>
      <c r="C2211" s="1798" t="s">
        <v>461</v>
      </c>
      <c r="D2211" s="1799" t="s">
        <v>101</v>
      </c>
      <c r="E2211" s="1800" t="s">
        <v>57</v>
      </c>
      <c r="F2211" s="1814">
        <v>7.0000000000000007E-2</v>
      </c>
      <c r="G2211" s="1808">
        <v>20.16</v>
      </c>
      <c r="H2211" s="1802">
        <f>IF(E2211="H",G2211,TRUNC(G2211*(1-$K$7),2))</f>
        <v>20.16</v>
      </c>
      <c r="I2211" s="1803">
        <f t="shared" ref="I2211:I2215" si="314">TRUNC(H2211*F2211,2)</f>
        <v>1.41</v>
      </c>
      <c r="J2211" s="1795"/>
    </row>
    <row r="2212" spans="1:10" ht="24">
      <c r="A2212" s="1797"/>
      <c r="B2212" s="1798"/>
      <c r="C2212" s="1798" t="s">
        <v>462</v>
      </c>
      <c r="D2212" s="1799" t="s">
        <v>102</v>
      </c>
      <c r="E2212" s="1800" t="s">
        <v>57</v>
      </c>
      <c r="F2212" s="1814">
        <v>7.0000000000000007E-2</v>
      </c>
      <c r="G2212" s="1808">
        <v>24.64</v>
      </c>
      <c r="H2212" s="1802">
        <f>IF(E2212="H",G2212,TRUNC(G2212*(1-$K$7),2))</f>
        <v>24.64</v>
      </c>
      <c r="I2212" s="1803">
        <f t="shared" si="314"/>
        <v>1.72</v>
      </c>
      <c r="J2212" s="1795"/>
    </row>
    <row r="2213" spans="1:10">
      <c r="A2213" s="1797"/>
      <c r="B2213" s="1798"/>
      <c r="C2213" s="1798">
        <v>122</v>
      </c>
      <c r="D2213" s="1799" t="s">
        <v>125</v>
      </c>
      <c r="E2213" s="1800" t="s">
        <v>100</v>
      </c>
      <c r="F2213" s="1817">
        <v>8.0000000000000002E-3</v>
      </c>
      <c r="G2213" s="1806">
        <v>76.86</v>
      </c>
      <c r="H2213" s="1802">
        <f>IF(E2213="H",G2213,TRUNC(G2213*(1-$K$7),2))</f>
        <v>76.459999999999994</v>
      </c>
      <c r="I2213" s="1803">
        <f t="shared" si="314"/>
        <v>0.61</v>
      </c>
      <c r="J2213" s="1795"/>
    </row>
    <row r="2214" spans="1:10" ht="24">
      <c r="A2214" s="1797"/>
      <c r="B2214" s="1798"/>
      <c r="C2214" s="1798">
        <v>20083</v>
      </c>
      <c r="D2214" s="1799" t="s">
        <v>126</v>
      </c>
      <c r="E2214" s="1800" t="s">
        <v>455</v>
      </c>
      <c r="F2214" s="1817">
        <v>1.0999999999999999E-2</v>
      </c>
      <c r="G2214" s="1806">
        <v>87.08</v>
      </c>
      <c r="H2214" s="1802">
        <f>IF(E2214="H",G2214,TRUNC(G2214*(1-$K$7),2))</f>
        <v>86.63</v>
      </c>
      <c r="I2214" s="1803">
        <f t="shared" si="314"/>
        <v>0.95</v>
      </c>
      <c r="J2214" s="1795"/>
    </row>
    <row r="2215" spans="1:10" ht="24">
      <c r="A2215" s="1797"/>
      <c r="B2215" s="1798"/>
      <c r="C2215" s="1798">
        <v>39319</v>
      </c>
      <c r="D2215" s="1799" t="s">
        <v>2006</v>
      </c>
      <c r="E2215" s="1800" t="s">
        <v>55</v>
      </c>
      <c r="F2215" s="1817">
        <v>1</v>
      </c>
      <c r="G2215" s="1806">
        <v>9.77</v>
      </c>
      <c r="H2215" s="1802">
        <f>IF(E2215="H",G2215,TRUNC(G2215*(1-$K$7),2))</f>
        <v>9.7200000000000006</v>
      </c>
      <c r="I2215" s="1803">
        <f t="shared" si="314"/>
        <v>9.7200000000000006</v>
      </c>
      <c r="J2215" s="1795"/>
    </row>
    <row r="2216" spans="1:10">
      <c r="A2216" s="1943" t="s">
        <v>2477</v>
      </c>
      <c r="B2216" s="1944"/>
      <c r="C2216" s="1944"/>
      <c r="D2216" s="1944"/>
      <c r="E2216" s="1944"/>
      <c r="F2216" s="1944"/>
      <c r="G2216" s="1944"/>
      <c r="H2216" s="1945"/>
      <c r="I2216" s="1805">
        <f>SUM(I2211:I2215)</f>
        <v>14.41</v>
      </c>
      <c r="J2216" s="1795"/>
    </row>
    <row r="2217" spans="1:10">
      <c r="A2217" s="1929"/>
      <c r="B2217" s="1930"/>
      <c r="C2217" s="1930"/>
      <c r="D2217" s="1930"/>
      <c r="E2217" s="1930"/>
      <c r="F2217" s="1930"/>
      <c r="G2217" s="1930"/>
      <c r="H2217" s="1930"/>
      <c r="I2217" s="1931"/>
      <c r="J2217" s="1795"/>
    </row>
    <row r="2218" spans="1:10" ht="24" customHeight="1">
      <c r="A2218" s="1784" t="str">
        <f>'PLANILHA SEM DESON'!B329</f>
        <v>COMP HIDR 21</v>
      </c>
      <c r="B2218" s="1940" t="str">
        <f>VLOOKUP(A2218,'PLANILHA SEM DESON'!$B$17:$D$1700,2,FALSE)</f>
        <v>TERMINAL DE VENTILACAO, 75 MM, SERIE NORMAL, ESGOTO PREDIAL</v>
      </c>
      <c r="C2218" s="1941"/>
      <c r="D2218" s="1941"/>
      <c r="E2218" s="1941"/>
      <c r="F2218" s="1941"/>
      <c r="G2218" s="1941"/>
      <c r="H2218" s="1942"/>
      <c r="I2218" s="1785" t="str">
        <f>VLOOKUP(A2218,'PLANILHA SEM DESON'!$B$17:$D$1700,3,FALSE)</f>
        <v xml:space="preserve">un </v>
      </c>
      <c r="J2218" s="1786">
        <f>I2225</f>
        <v>20.85</v>
      </c>
    </row>
    <row r="2219" spans="1:10" ht="24">
      <c r="A2219" s="1788" t="s">
        <v>2470</v>
      </c>
      <c r="B2219" s="1789" t="s">
        <v>2471</v>
      </c>
      <c r="C2219" s="1790" t="s">
        <v>2468</v>
      </c>
      <c r="D2219" s="1791" t="s">
        <v>308</v>
      </c>
      <c r="E2219" s="1790" t="s">
        <v>202</v>
      </c>
      <c r="F2219" s="1792" t="s">
        <v>2472</v>
      </c>
      <c r="G2219" s="1790" t="s">
        <v>2473</v>
      </c>
      <c r="H2219" s="1793" t="s">
        <v>2474</v>
      </c>
      <c r="I2219" s="1794" t="s">
        <v>2475</v>
      </c>
      <c r="J2219" s="1795"/>
    </row>
    <row r="2220" spans="1:10" ht="24">
      <c r="A2220" s="1797"/>
      <c r="B2220" s="1798"/>
      <c r="C2220" s="1798" t="s">
        <v>461</v>
      </c>
      <c r="D2220" s="1799" t="s">
        <v>101</v>
      </c>
      <c r="E2220" s="1800" t="s">
        <v>57</v>
      </c>
      <c r="F2220" s="1814">
        <v>7.0000000000000007E-2</v>
      </c>
      <c r="G2220" s="1808">
        <v>20.16</v>
      </c>
      <c r="H2220" s="1802">
        <f>IF(E2220="H",G2220,TRUNC(G2220*(1-$K$7),2))</f>
        <v>20.16</v>
      </c>
      <c r="I2220" s="1803">
        <f t="shared" ref="I2220:I2224" si="315">TRUNC(H2220*F2220,2)</f>
        <v>1.41</v>
      </c>
      <c r="J2220" s="1795"/>
    </row>
    <row r="2221" spans="1:10" ht="24">
      <c r="A2221" s="1797"/>
      <c r="B2221" s="1798"/>
      <c r="C2221" s="1798" t="s">
        <v>462</v>
      </c>
      <c r="D2221" s="1799" t="s">
        <v>102</v>
      </c>
      <c r="E2221" s="1800" t="s">
        <v>57</v>
      </c>
      <c r="F2221" s="1814">
        <v>7.0000000000000007E-2</v>
      </c>
      <c r="G2221" s="1808">
        <v>24.64</v>
      </c>
      <c r="H2221" s="1802">
        <f>IF(E2221="H",G2221,TRUNC(G2221*(1-$K$7),2))</f>
        <v>24.64</v>
      </c>
      <c r="I2221" s="1803">
        <f t="shared" si="315"/>
        <v>1.72</v>
      </c>
      <c r="J2221" s="1795"/>
    </row>
    <row r="2222" spans="1:10">
      <c r="A2222" s="1797"/>
      <c r="B2222" s="1798"/>
      <c r="C2222" s="1798">
        <v>122</v>
      </c>
      <c r="D2222" s="1799" t="s">
        <v>125</v>
      </c>
      <c r="E2222" s="1800" t="s">
        <v>100</v>
      </c>
      <c r="F2222" s="1817">
        <v>8.0000000000000002E-3</v>
      </c>
      <c r="G2222" s="1806">
        <v>76.86</v>
      </c>
      <c r="H2222" s="1802">
        <f>IF(E2222="H",G2222,TRUNC(G2222*(1-$K$7),2))</f>
        <v>76.459999999999994</v>
      </c>
      <c r="I2222" s="1803">
        <f t="shared" si="315"/>
        <v>0.61</v>
      </c>
      <c r="J2222" s="1795"/>
    </row>
    <row r="2223" spans="1:10" ht="24">
      <c r="A2223" s="1797"/>
      <c r="B2223" s="1798"/>
      <c r="C2223" s="1798">
        <v>20083</v>
      </c>
      <c r="D2223" s="1799" t="s">
        <v>126</v>
      </c>
      <c r="E2223" s="1800" t="s">
        <v>455</v>
      </c>
      <c r="F2223" s="1817">
        <v>1.0999999999999999E-2</v>
      </c>
      <c r="G2223" s="1806">
        <v>87.08</v>
      </c>
      <c r="H2223" s="1802">
        <f>IF(E2223="H",G2223,TRUNC(G2223*(1-$K$7),2))</f>
        <v>86.63</v>
      </c>
      <c r="I2223" s="1803">
        <f t="shared" si="315"/>
        <v>0.95</v>
      </c>
      <c r="J2223" s="1795"/>
    </row>
    <row r="2224" spans="1:10" ht="24">
      <c r="A2224" s="1797"/>
      <c r="B2224" s="1798"/>
      <c r="C2224" s="1798">
        <v>39319</v>
      </c>
      <c r="D2224" s="1799" t="s">
        <v>2006</v>
      </c>
      <c r="E2224" s="1800" t="s">
        <v>55</v>
      </c>
      <c r="F2224" s="1817">
        <v>1</v>
      </c>
      <c r="G2224" s="1806">
        <v>16.25</v>
      </c>
      <c r="H2224" s="1802">
        <f>IF(E2224="H",G2224,TRUNC(G2224*(1-$K$7),2))</f>
        <v>16.16</v>
      </c>
      <c r="I2224" s="1803">
        <f t="shared" si="315"/>
        <v>16.16</v>
      </c>
      <c r="J2224" s="1795"/>
    </row>
    <row r="2225" spans="1:10">
      <c r="A2225" s="1943" t="s">
        <v>2477</v>
      </c>
      <c r="B2225" s="1944"/>
      <c r="C2225" s="1944"/>
      <c r="D2225" s="1944"/>
      <c r="E2225" s="1944"/>
      <c r="F2225" s="1944"/>
      <c r="G2225" s="1944"/>
      <c r="H2225" s="1945"/>
      <c r="I2225" s="1805">
        <f>SUM(I2220:I2224)</f>
        <v>20.85</v>
      </c>
      <c r="J2225" s="1795"/>
    </row>
    <row r="2226" spans="1:10">
      <c r="A2226" s="1929"/>
      <c r="B2226" s="1930"/>
      <c r="C2226" s="1930"/>
      <c r="D2226" s="1930"/>
      <c r="E2226" s="1930"/>
      <c r="F2226" s="1930"/>
      <c r="G2226" s="1930"/>
      <c r="H2226" s="1930"/>
      <c r="I2226" s="1931"/>
      <c r="J2226" s="1795"/>
    </row>
    <row r="2227" spans="1:10" ht="24" customHeight="1">
      <c r="A2227" s="1784" t="str">
        <f>'PLANILHA SEM DESON'!B330</f>
        <v>COMP HIDR 22</v>
      </c>
      <c r="B2227" s="1940" t="str">
        <f>VLOOKUP(A2227,'PLANILHA SEM DESON'!$B$17:$D$1700,2,FALSE)</f>
        <v>CAIXA DE INSPEÇÃO EM PVC, DIAMETRO MINIMO 300 MM,  COM TAMPA</v>
      </c>
      <c r="C2227" s="1941"/>
      <c r="D2227" s="1941"/>
      <c r="E2227" s="1941"/>
      <c r="F2227" s="1941"/>
      <c r="G2227" s="1941"/>
      <c r="H2227" s="1942"/>
      <c r="I2227" s="1785" t="str">
        <f>VLOOKUP(A2227,'PLANILHA SEM DESON'!$B$17:$D$1700,3,FALSE)</f>
        <v xml:space="preserve">un </v>
      </c>
      <c r="J2227" s="1786">
        <f>I2232</f>
        <v>444.15999999999997</v>
      </c>
    </row>
    <row r="2228" spans="1:10" ht="24">
      <c r="A2228" s="1788" t="s">
        <v>2470</v>
      </c>
      <c r="B2228" s="1789" t="s">
        <v>2471</v>
      </c>
      <c r="C2228" s="1790" t="s">
        <v>2468</v>
      </c>
      <c r="D2228" s="1791" t="s">
        <v>308</v>
      </c>
      <c r="E2228" s="1790" t="s">
        <v>202</v>
      </c>
      <c r="F2228" s="1792" t="s">
        <v>2472</v>
      </c>
      <c r="G2228" s="1790" t="s">
        <v>2473</v>
      </c>
      <c r="H2228" s="1793" t="s">
        <v>2474</v>
      </c>
      <c r="I2228" s="1794" t="s">
        <v>2475</v>
      </c>
      <c r="J2228" s="1795"/>
    </row>
    <row r="2229" spans="1:10" ht="24">
      <c r="A2229" s="1797"/>
      <c r="B2229" s="1798"/>
      <c r="C2229" s="1798" t="s">
        <v>461</v>
      </c>
      <c r="D2229" s="1799" t="s">
        <v>101</v>
      </c>
      <c r="E2229" s="1800" t="s">
        <v>57</v>
      </c>
      <c r="F2229" s="1814">
        <v>0.55000000000000004</v>
      </c>
      <c r="G2229" s="1808">
        <v>20.16</v>
      </c>
      <c r="H2229" s="1802">
        <f>IF(E2229="H",G2229,TRUNC(G2229*(1-$K$7),2))</f>
        <v>20.16</v>
      </c>
      <c r="I2229" s="1803">
        <f t="shared" ref="I2229:I2231" si="316">TRUNC(H2229*F2229,2)</f>
        <v>11.08</v>
      </c>
      <c r="J2229" s="1795"/>
    </row>
    <row r="2230" spans="1:10" ht="24">
      <c r="A2230" s="1797"/>
      <c r="B2230" s="1798"/>
      <c r="C2230" s="1798" t="s">
        <v>462</v>
      </c>
      <c r="D2230" s="1799" t="s">
        <v>102</v>
      </c>
      <c r="E2230" s="1800" t="s">
        <v>57</v>
      </c>
      <c r="F2230" s="1814">
        <v>0.55000000000000004</v>
      </c>
      <c r="G2230" s="1808">
        <v>24.64</v>
      </c>
      <c r="H2230" s="1802">
        <f>IF(E2230="H",G2230,TRUNC(G2230*(1-$K$7),2))</f>
        <v>24.64</v>
      </c>
      <c r="I2230" s="1803">
        <f t="shared" si="316"/>
        <v>13.55</v>
      </c>
      <c r="J2230" s="1795"/>
    </row>
    <row r="2231" spans="1:10" ht="24">
      <c r="A2231" s="1797"/>
      <c r="B2231" s="1798"/>
      <c r="C2231" s="1798">
        <v>35277</v>
      </c>
      <c r="D2231" s="1799" t="s">
        <v>2009</v>
      </c>
      <c r="E2231" s="1800" t="s">
        <v>55</v>
      </c>
      <c r="F2231" s="1817">
        <v>1</v>
      </c>
      <c r="G2231" s="1806">
        <v>421.69</v>
      </c>
      <c r="H2231" s="1802">
        <f>IF(E2231="H",G2231,TRUNC(G2231*(1-$K$7),2))</f>
        <v>419.53</v>
      </c>
      <c r="I2231" s="1803">
        <f t="shared" si="316"/>
        <v>419.53</v>
      </c>
      <c r="J2231" s="1795"/>
    </row>
    <row r="2232" spans="1:10">
      <c r="A2232" s="1943" t="s">
        <v>2477</v>
      </c>
      <c r="B2232" s="1944"/>
      <c r="C2232" s="1944"/>
      <c r="D2232" s="1944"/>
      <c r="E2232" s="1944"/>
      <c r="F2232" s="1944"/>
      <c r="G2232" s="1944"/>
      <c r="H2232" s="1945"/>
      <c r="I2232" s="1805">
        <f>SUM(I2229:I2231)</f>
        <v>444.15999999999997</v>
      </c>
      <c r="J2232" s="1795"/>
    </row>
    <row r="2233" spans="1:10">
      <c r="A2233" s="1929"/>
      <c r="B2233" s="1930"/>
      <c r="C2233" s="1930"/>
      <c r="D2233" s="1930"/>
      <c r="E2233" s="1930"/>
      <c r="F2233" s="1930"/>
      <c r="G2233" s="1930"/>
      <c r="H2233" s="1930"/>
      <c r="I2233" s="1931"/>
      <c r="J2233" s="1795"/>
    </row>
    <row r="2234" spans="1:10" ht="31.5" customHeight="1">
      <c r="A2234" s="1784">
        <f>'PLANILHA SEM DESON'!B331</f>
        <v>98110</v>
      </c>
      <c r="B2234" s="1940" t="str">
        <f>VLOOKUP(A2234,'PLANILHA SEM DESON'!$B$17:$D$1700,2,FALSE)</f>
        <v>CAIXA DE GORDURA PEQUENA (CAPACIDADE: 19 L), CIRCULAR, EM PVC, DIÂMETRO INTERNO= 0,3 M. AF_12/2020</v>
      </c>
      <c r="C2234" s="1941"/>
      <c r="D2234" s="1941"/>
      <c r="E2234" s="1941"/>
      <c r="F2234" s="1941"/>
      <c r="G2234" s="1941"/>
      <c r="H2234" s="1942"/>
      <c r="I2234" s="1785" t="str">
        <f>VLOOKUP(A2234,'PLANILHA SEM DESON'!$B$17:$D$1700,3,FALSE)</f>
        <v xml:space="preserve">un </v>
      </c>
      <c r="J2234" s="1786">
        <f>I2240</f>
        <v>434.33</v>
      </c>
    </row>
    <row r="2235" spans="1:10" ht="24">
      <c r="A2235" s="1788" t="s">
        <v>2470</v>
      </c>
      <c r="B2235" s="1789" t="s">
        <v>2471</v>
      </c>
      <c r="C2235" s="1790" t="s">
        <v>2468</v>
      </c>
      <c r="D2235" s="1791" t="s">
        <v>308</v>
      </c>
      <c r="E2235" s="1790" t="s">
        <v>202</v>
      </c>
      <c r="F2235" s="1792" t="s">
        <v>2472</v>
      </c>
      <c r="G2235" s="1790" t="s">
        <v>2473</v>
      </c>
      <c r="H2235" s="1793" t="s">
        <v>2474</v>
      </c>
      <c r="I2235" s="1794" t="s">
        <v>2475</v>
      </c>
      <c r="J2235" s="1795"/>
    </row>
    <row r="2236" spans="1:10" ht="36">
      <c r="A2236" s="1797" t="s">
        <v>2476</v>
      </c>
      <c r="B2236" s="1798" t="s">
        <v>2479</v>
      </c>
      <c r="C2236" s="1798">
        <v>35277</v>
      </c>
      <c r="D2236" s="1799" t="s">
        <v>2798</v>
      </c>
      <c r="E2236" s="1800" t="s">
        <v>2501</v>
      </c>
      <c r="F2236" s="1807">
        <v>1</v>
      </c>
      <c r="G2236" s="1801">
        <v>421.69</v>
      </c>
      <c r="H2236" s="1802">
        <f>IF(E2236="H",G2236,TRUNC(G2236*(1-$K$7),2))</f>
        <v>419.53</v>
      </c>
      <c r="I2236" s="1803">
        <f t="shared" ref="I2236:I2239" si="317">TRUNC(H2236*F2236,2)</f>
        <v>419.53</v>
      </c>
      <c r="J2236" s="1795"/>
    </row>
    <row r="2237" spans="1:10">
      <c r="A2237" s="1797" t="s">
        <v>2476</v>
      </c>
      <c r="B2237" s="1798" t="s">
        <v>7</v>
      </c>
      <c r="C2237" s="1798">
        <v>88309</v>
      </c>
      <c r="D2237" s="1799" t="s">
        <v>103</v>
      </c>
      <c r="E2237" s="1800" t="s">
        <v>411</v>
      </c>
      <c r="F2237" s="1807">
        <v>0.28399999999999997</v>
      </c>
      <c r="G2237" s="1801">
        <v>24.59</v>
      </c>
      <c r="H2237" s="1802">
        <f>IF(E2237="H",G2237,TRUNC(G2237*(1-$K$7),2))</f>
        <v>24.59</v>
      </c>
      <c r="I2237" s="1803">
        <f t="shared" si="317"/>
        <v>6.98</v>
      </c>
      <c r="J2237" s="1795"/>
    </row>
    <row r="2238" spans="1:10">
      <c r="A2238" s="1797" t="s">
        <v>2476</v>
      </c>
      <c r="B2238" s="1798" t="s">
        <v>7</v>
      </c>
      <c r="C2238" s="1798">
        <v>88316</v>
      </c>
      <c r="D2238" s="1799" t="s">
        <v>66</v>
      </c>
      <c r="E2238" s="1800" t="s">
        <v>411</v>
      </c>
      <c r="F2238" s="1807">
        <v>0.22309999999999999</v>
      </c>
      <c r="G2238" s="1801">
        <v>19.45</v>
      </c>
      <c r="H2238" s="1802">
        <f>IF(E2238="H",G2238,TRUNC(G2238*(1-$K$7),2))</f>
        <v>19.45</v>
      </c>
      <c r="I2238" s="1803">
        <f t="shared" si="317"/>
        <v>4.33</v>
      </c>
      <c r="J2238" s="1795"/>
    </row>
    <row r="2239" spans="1:10" ht="36">
      <c r="A2239" s="1797" t="s">
        <v>2476</v>
      </c>
      <c r="B2239" s="1798" t="s">
        <v>7</v>
      </c>
      <c r="C2239" s="1798">
        <v>101618</v>
      </c>
      <c r="D2239" s="1799" t="s">
        <v>2726</v>
      </c>
      <c r="E2239" s="1800" t="s">
        <v>1171</v>
      </c>
      <c r="F2239" s="1807">
        <v>1.41E-2</v>
      </c>
      <c r="G2239" s="1801">
        <v>249.32</v>
      </c>
      <c r="H2239" s="1802">
        <f>IF(E2239="H",G2239,TRUNC(G2239*(1-$K$7),2))</f>
        <v>248.04</v>
      </c>
      <c r="I2239" s="1803">
        <f t="shared" si="317"/>
        <v>3.49</v>
      </c>
      <c r="J2239" s="1795"/>
    </row>
    <row r="2240" spans="1:10">
      <c r="A2240" s="1943" t="s">
        <v>2477</v>
      </c>
      <c r="B2240" s="1944"/>
      <c r="C2240" s="1944"/>
      <c r="D2240" s="1944"/>
      <c r="E2240" s="1944"/>
      <c r="F2240" s="1944"/>
      <c r="G2240" s="1944"/>
      <c r="H2240" s="1945"/>
      <c r="I2240" s="1805">
        <f>SUM(I2236:I2239)</f>
        <v>434.33</v>
      </c>
      <c r="J2240" s="1795"/>
    </row>
    <row r="2241" spans="1:10">
      <c r="A2241" s="1929"/>
      <c r="B2241" s="1930"/>
      <c r="C2241" s="1930"/>
      <c r="D2241" s="1930"/>
      <c r="E2241" s="1930"/>
      <c r="F2241" s="1930"/>
      <c r="G2241" s="1930"/>
      <c r="H2241" s="1930"/>
      <c r="I2241" s="1931"/>
      <c r="J2241" s="1795"/>
    </row>
    <row r="2242" spans="1:10" ht="24" customHeight="1">
      <c r="A2242" s="1784" t="str">
        <f>'PLANILHA SEM DESON'!B332</f>
        <v>COMP HIDR 18</v>
      </c>
      <c r="B2242" s="1940" t="str">
        <f>VLOOKUP(A2242,'PLANILHA SEM DESON'!$B$17:$D$1700,2,FALSE)</f>
        <v>SIFÃO DO TIPO FLEXÍVEL EM PVC  2" -  FORNECIMENTO E INSTALAÇÃO.</v>
      </c>
      <c r="C2242" s="1941"/>
      <c r="D2242" s="1941"/>
      <c r="E2242" s="1941"/>
      <c r="F2242" s="1941"/>
      <c r="G2242" s="1941"/>
      <c r="H2242" s="1942"/>
      <c r="I2242" s="1785" t="str">
        <f>VLOOKUP(A2242,'PLANILHA SEM DESON'!$B$17:$D$1700,3,FALSE)</f>
        <v xml:space="preserve">un </v>
      </c>
      <c r="J2242" s="1786">
        <f>I2248</f>
        <v>50.69</v>
      </c>
    </row>
    <row r="2243" spans="1:10" ht="24">
      <c r="A2243" s="1788" t="s">
        <v>2470</v>
      </c>
      <c r="B2243" s="1789" t="s">
        <v>2471</v>
      </c>
      <c r="C2243" s="1790" t="s">
        <v>2468</v>
      </c>
      <c r="D2243" s="1791" t="s">
        <v>308</v>
      </c>
      <c r="E2243" s="1790" t="s">
        <v>202</v>
      </c>
      <c r="F2243" s="1792" t="s">
        <v>2472</v>
      </c>
      <c r="G2243" s="1790" t="s">
        <v>2473</v>
      </c>
      <c r="H2243" s="1793" t="s">
        <v>2474</v>
      </c>
      <c r="I2243" s="1794" t="s">
        <v>2475</v>
      </c>
      <c r="J2243" s="1795"/>
    </row>
    <row r="2244" spans="1:10" ht="24">
      <c r="A2244" s="1797"/>
      <c r="B2244" s="1798"/>
      <c r="C2244" s="1798" t="s">
        <v>461</v>
      </c>
      <c r="D2244" s="1799" t="s">
        <v>101</v>
      </c>
      <c r="E2244" s="1800" t="s">
        <v>57</v>
      </c>
      <c r="F2244" s="1814">
        <v>0.25</v>
      </c>
      <c r="G2244" s="1808">
        <v>20.16</v>
      </c>
      <c r="H2244" s="1802">
        <f>IF(E2244="H",G2244,TRUNC(G2244*(1-$K$7),2))</f>
        <v>20.16</v>
      </c>
      <c r="I2244" s="1803">
        <f t="shared" ref="I2244:I2247" si="318">TRUNC(H2244*F2244,2)</f>
        <v>5.04</v>
      </c>
      <c r="J2244" s="1795"/>
    </row>
    <row r="2245" spans="1:10" ht="24">
      <c r="A2245" s="1797"/>
      <c r="B2245" s="1798"/>
      <c r="C2245" s="1798" t="s">
        <v>462</v>
      </c>
      <c r="D2245" s="1799" t="s">
        <v>102</v>
      </c>
      <c r="E2245" s="1800" t="s">
        <v>57</v>
      </c>
      <c r="F2245" s="1814">
        <v>0.25</v>
      </c>
      <c r="G2245" s="1808">
        <v>24.64</v>
      </c>
      <c r="H2245" s="1802">
        <f>IF(E2245="H",G2245,TRUNC(G2245*(1-$K$7),2))</f>
        <v>24.64</v>
      </c>
      <c r="I2245" s="1803">
        <f t="shared" si="318"/>
        <v>6.16</v>
      </c>
      <c r="J2245" s="1795"/>
    </row>
    <row r="2246" spans="1:10">
      <c r="A2246" s="1797"/>
      <c r="B2246" s="1798"/>
      <c r="C2246" s="1798">
        <v>3148</v>
      </c>
      <c r="D2246" s="1799" t="s">
        <v>477</v>
      </c>
      <c r="E2246" s="1800" t="s">
        <v>55</v>
      </c>
      <c r="F2246" s="1817">
        <v>0.94</v>
      </c>
      <c r="G2246" s="1806">
        <v>17.989999999999998</v>
      </c>
      <c r="H2246" s="1802">
        <f>IF(E2246="H",G2246,TRUNC(G2246*(1-$K$7),2))</f>
        <v>17.89</v>
      </c>
      <c r="I2246" s="1803">
        <f t="shared" si="318"/>
        <v>16.809999999999999</v>
      </c>
      <c r="J2246" s="1795"/>
    </row>
    <row r="2247" spans="1:10">
      <c r="A2247" s="1797"/>
      <c r="B2247" s="1798"/>
      <c r="C2247" s="1798">
        <v>20262</v>
      </c>
      <c r="D2247" s="1799" t="s">
        <v>2003</v>
      </c>
      <c r="E2247" s="1800" t="s">
        <v>55</v>
      </c>
      <c r="F2247" s="1817">
        <v>1</v>
      </c>
      <c r="G2247" s="1806">
        <v>22.8</v>
      </c>
      <c r="H2247" s="1802">
        <f>IF(E2247="H",G2247,TRUNC(G2247*(1-$K$7),2))</f>
        <v>22.68</v>
      </c>
      <c r="I2247" s="1803">
        <f t="shared" si="318"/>
        <v>22.68</v>
      </c>
      <c r="J2247" s="1795"/>
    </row>
    <row r="2248" spans="1:10">
      <c r="A2248" s="1943" t="s">
        <v>2477</v>
      </c>
      <c r="B2248" s="1944"/>
      <c r="C2248" s="1944"/>
      <c r="D2248" s="1944"/>
      <c r="E2248" s="1944"/>
      <c r="F2248" s="1944"/>
      <c r="G2248" s="1944"/>
      <c r="H2248" s="1945"/>
      <c r="I2248" s="1805">
        <f>SUM(I2244:I2247)</f>
        <v>50.69</v>
      </c>
      <c r="J2248" s="1795"/>
    </row>
    <row r="2249" spans="1:10">
      <c r="A2249" s="1929"/>
      <c r="B2249" s="1930"/>
      <c r="C2249" s="1930"/>
      <c r="D2249" s="1930"/>
      <c r="E2249" s="1930"/>
      <c r="F2249" s="1930"/>
      <c r="G2249" s="1930"/>
      <c r="H2249" s="1930"/>
      <c r="I2249" s="1931"/>
      <c r="J2249" s="1795"/>
    </row>
    <row r="2250" spans="1:10">
      <c r="A2250" s="1784">
        <f>'PLANILHA SEM DESON'!B333</f>
        <v>86883</v>
      </c>
      <c r="B2250" s="1940" t="str">
        <f>VLOOKUP(A2250,'PLANILHA SEM DESON'!$B$17:$D$1700,2,FALSE)</f>
        <v>SIFÃO DO TIPO FLEXÍVEL EM PVC 1 X 1.1/2 - FORNECIMENTO E INSTALAÇÃO. AF_01/2020</v>
      </c>
      <c r="C2250" s="1941"/>
      <c r="D2250" s="1941"/>
      <c r="E2250" s="1941"/>
      <c r="F2250" s="1941"/>
      <c r="G2250" s="1941"/>
      <c r="H2250" s="1942"/>
      <c r="I2250" s="1785" t="str">
        <f>VLOOKUP(A2250,'PLANILHA SEM DESON'!$B$17:$D$1700,3,FALSE)</f>
        <v xml:space="preserve">un </v>
      </c>
      <c r="J2250" s="1786">
        <f>I2256</f>
        <v>15.13</v>
      </c>
    </row>
    <row r="2251" spans="1:10" ht="24">
      <c r="A2251" s="1788" t="s">
        <v>2470</v>
      </c>
      <c r="B2251" s="1789" t="s">
        <v>2471</v>
      </c>
      <c r="C2251" s="1790" t="s">
        <v>2468</v>
      </c>
      <c r="D2251" s="1791" t="s">
        <v>308</v>
      </c>
      <c r="E2251" s="1790" t="s">
        <v>202</v>
      </c>
      <c r="F2251" s="1792" t="s">
        <v>2472</v>
      </c>
      <c r="G2251" s="1790" t="s">
        <v>2473</v>
      </c>
      <c r="H2251" s="1793" t="s">
        <v>2474</v>
      </c>
      <c r="I2251" s="1794" t="s">
        <v>2475</v>
      </c>
      <c r="J2251" s="1795"/>
    </row>
    <row r="2252" spans="1:10">
      <c r="A2252" s="1797" t="s">
        <v>2476</v>
      </c>
      <c r="B2252" s="1798" t="s">
        <v>2479</v>
      </c>
      <c r="C2252" s="1798">
        <v>3146</v>
      </c>
      <c r="D2252" s="1799" t="s">
        <v>2748</v>
      </c>
      <c r="E2252" s="1800" t="s">
        <v>2501</v>
      </c>
      <c r="F2252" s="1807">
        <v>3.32E-2</v>
      </c>
      <c r="G2252" s="1801">
        <v>4.88</v>
      </c>
      <c r="H2252" s="1802">
        <f>IF(E2252="H",G2252,TRUNC(G2252*(1-$K$7),2))</f>
        <v>4.8499999999999996</v>
      </c>
      <c r="I2252" s="1803">
        <f t="shared" ref="I2252:I2255" si="319">TRUNC(H2252*F2252,2)</f>
        <v>0.16</v>
      </c>
      <c r="J2252" s="1795"/>
    </row>
    <row r="2253" spans="1:10" ht="36">
      <c r="A2253" s="1797" t="s">
        <v>2476</v>
      </c>
      <c r="B2253" s="1798" t="s">
        <v>2479</v>
      </c>
      <c r="C2253" s="1798">
        <v>44945</v>
      </c>
      <c r="D2253" s="1799" t="s">
        <v>2799</v>
      </c>
      <c r="E2253" s="1800" t="s">
        <v>2511</v>
      </c>
      <c r="F2253" s="1807">
        <v>1</v>
      </c>
      <c r="G2253" s="1801">
        <v>12.45</v>
      </c>
      <c r="H2253" s="1802">
        <f>IF(E2253="H",G2253,TRUNC(G2253*(1-$K$7),2))</f>
        <v>12.38</v>
      </c>
      <c r="I2253" s="1803">
        <f t="shared" si="319"/>
        <v>12.38</v>
      </c>
      <c r="J2253" s="1795"/>
    </row>
    <row r="2254" spans="1:10" ht="24">
      <c r="A2254" s="1797" t="s">
        <v>2476</v>
      </c>
      <c r="B2254" s="1798" t="s">
        <v>7</v>
      </c>
      <c r="C2254" s="1798">
        <v>88267</v>
      </c>
      <c r="D2254" s="1799" t="s">
        <v>102</v>
      </c>
      <c r="E2254" s="1800" t="s">
        <v>411</v>
      </c>
      <c r="F2254" s="1807">
        <v>8.4500000000000006E-2</v>
      </c>
      <c r="G2254" s="1801">
        <v>24.64</v>
      </c>
      <c r="H2254" s="1802">
        <f>IF(E2254="H",G2254,TRUNC(G2254*(1-$K$7),2))</f>
        <v>24.64</v>
      </c>
      <c r="I2254" s="1803">
        <f t="shared" si="319"/>
        <v>2.08</v>
      </c>
      <c r="J2254" s="1795"/>
    </row>
    <row r="2255" spans="1:10">
      <c r="A2255" s="1797" t="s">
        <v>2476</v>
      </c>
      <c r="B2255" s="1798" t="s">
        <v>7</v>
      </c>
      <c r="C2255" s="1798">
        <v>88316</v>
      </c>
      <c r="D2255" s="1799" t="s">
        <v>66</v>
      </c>
      <c r="E2255" s="1800" t="s">
        <v>411</v>
      </c>
      <c r="F2255" s="1807">
        <v>2.6599999999999999E-2</v>
      </c>
      <c r="G2255" s="1801">
        <v>19.45</v>
      </c>
      <c r="H2255" s="1802">
        <f>IF(E2255="H",G2255,TRUNC(G2255*(1-$K$7),2))</f>
        <v>19.45</v>
      </c>
      <c r="I2255" s="1803">
        <f t="shared" si="319"/>
        <v>0.51</v>
      </c>
      <c r="J2255" s="1795"/>
    </row>
    <row r="2256" spans="1:10">
      <c r="A2256" s="1943" t="s">
        <v>2477</v>
      </c>
      <c r="B2256" s="1944"/>
      <c r="C2256" s="1944"/>
      <c r="D2256" s="1944"/>
      <c r="E2256" s="1944"/>
      <c r="F2256" s="1944"/>
      <c r="G2256" s="1944"/>
      <c r="H2256" s="1945"/>
      <c r="I2256" s="1805">
        <f>SUM(I2252:I2255)</f>
        <v>15.13</v>
      </c>
      <c r="J2256" s="1795"/>
    </row>
    <row r="2257" spans="1:10">
      <c r="A2257" s="1929"/>
      <c r="B2257" s="1930"/>
      <c r="C2257" s="1930"/>
      <c r="D2257" s="1930"/>
      <c r="E2257" s="1930"/>
      <c r="F2257" s="1930"/>
      <c r="G2257" s="1930"/>
      <c r="H2257" s="1930"/>
      <c r="I2257" s="1931"/>
      <c r="J2257" s="1795"/>
    </row>
    <row r="2258" spans="1:10" ht="24" customHeight="1">
      <c r="A2258" s="1784" t="str">
        <f>'PLANILHA SEM DESON'!B334</f>
        <v>COMP HIDR 19</v>
      </c>
      <c r="B2258" s="1940" t="str">
        <f>VLOOKUP(A2258,'PLANILHA SEM DESON'!$B$17:$D$1700,2,FALSE)</f>
        <v>BOLSA DE LIGACAO EM PVC FLEXIVEL PARA VASO SANITARIO 1.1/2 " (40 MM)</v>
      </c>
      <c r="C2258" s="1941"/>
      <c r="D2258" s="1941"/>
      <c r="E2258" s="1941"/>
      <c r="F2258" s="1941"/>
      <c r="G2258" s="1941"/>
      <c r="H2258" s="1942"/>
      <c r="I2258" s="1785" t="str">
        <f>VLOOKUP(A2258,'PLANILHA SEM DESON'!$B$17:$D$1700,3,FALSE)</f>
        <v xml:space="preserve">un </v>
      </c>
      <c r="J2258" s="1786">
        <f>I2263</f>
        <v>11.01</v>
      </c>
    </row>
    <row r="2259" spans="1:10" ht="24">
      <c r="A2259" s="1788" t="s">
        <v>2470</v>
      </c>
      <c r="B2259" s="1789" t="s">
        <v>2471</v>
      </c>
      <c r="C2259" s="1790" t="s">
        <v>2468</v>
      </c>
      <c r="D2259" s="1791" t="s">
        <v>308</v>
      </c>
      <c r="E2259" s="1790" t="s">
        <v>202</v>
      </c>
      <c r="F2259" s="1792" t="s">
        <v>2472</v>
      </c>
      <c r="G2259" s="1790" t="s">
        <v>2473</v>
      </c>
      <c r="H2259" s="1793" t="s">
        <v>2474</v>
      </c>
      <c r="I2259" s="1794" t="s">
        <v>2475</v>
      </c>
      <c r="J2259" s="1795"/>
    </row>
    <row r="2260" spans="1:10" ht="24">
      <c r="A2260" s="1797"/>
      <c r="B2260" s="1798"/>
      <c r="C2260" s="1798" t="s">
        <v>461</v>
      </c>
      <c r="D2260" s="1799" t="s">
        <v>101</v>
      </c>
      <c r="E2260" s="1800" t="s">
        <v>57</v>
      </c>
      <c r="F2260" s="1817">
        <v>0.14000000000000001</v>
      </c>
      <c r="G2260" s="1808">
        <v>20.16</v>
      </c>
      <c r="H2260" s="1802">
        <f>IF(E2260="H",G2260,TRUNC(G2260*(1-$K$7),2))</f>
        <v>20.16</v>
      </c>
      <c r="I2260" s="1803">
        <f t="shared" ref="I2260:I2262" si="320">TRUNC(H2260*F2260,2)</f>
        <v>2.82</v>
      </c>
      <c r="J2260" s="1795"/>
    </row>
    <row r="2261" spans="1:10" ht="24">
      <c r="A2261" s="1797"/>
      <c r="B2261" s="1798"/>
      <c r="C2261" s="1798" t="s">
        <v>462</v>
      </c>
      <c r="D2261" s="1799" t="s">
        <v>102</v>
      </c>
      <c r="E2261" s="1800" t="s">
        <v>57</v>
      </c>
      <c r="F2261" s="1817">
        <v>0.14000000000000001</v>
      </c>
      <c r="G2261" s="1808">
        <v>24.64</v>
      </c>
      <c r="H2261" s="1802">
        <f>IF(E2261="H",G2261,TRUNC(G2261*(1-$K$7),2))</f>
        <v>24.64</v>
      </c>
      <c r="I2261" s="1803">
        <f t="shared" si="320"/>
        <v>3.44</v>
      </c>
      <c r="J2261" s="1795"/>
    </row>
    <row r="2262" spans="1:10" ht="24">
      <c r="A2262" s="1797"/>
      <c r="B2262" s="1798"/>
      <c r="C2262" s="1798">
        <v>6140</v>
      </c>
      <c r="D2262" s="1799" t="s">
        <v>2005</v>
      </c>
      <c r="E2262" s="1800" t="s">
        <v>55</v>
      </c>
      <c r="F2262" s="1817">
        <v>1</v>
      </c>
      <c r="G2262" s="1806">
        <v>4.78</v>
      </c>
      <c r="H2262" s="1802">
        <f>IF(E2262="H",G2262,TRUNC(G2262*(1-$K$7),2))</f>
        <v>4.75</v>
      </c>
      <c r="I2262" s="1803">
        <f t="shared" si="320"/>
        <v>4.75</v>
      </c>
      <c r="J2262" s="1795"/>
    </row>
    <row r="2263" spans="1:10">
      <c r="A2263" s="1943" t="s">
        <v>2477</v>
      </c>
      <c r="B2263" s="1944"/>
      <c r="C2263" s="1944"/>
      <c r="D2263" s="1944"/>
      <c r="E2263" s="1944"/>
      <c r="F2263" s="1944"/>
      <c r="G2263" s="1944"/>
      <c r="H2263" s="1945"/>
      <c r="I2263" s="1805">
        <f>SUM(I2260:I2262)</f>
        <v>11.01</v>
      </c>
      <c r="J2263" s="1795"/>
    </row>
    <row r="2264" spans="1:10">
      <c r="A2264" s="1929"/>
      <c r="B2264" s="1930"/>
      <c r="C2264" s="1930"/>
      <c r="D2264" s="1930"/>
      <c r="E2264" s="1930"/>
      <c r="F2264" s="1930"/>
      <c r="G2264" s="1930"/>
      <c r="H2264" s="1930"/>
      <c r="I2264" s="1931"/>
      <c r="J2264" s="1795"/>
    </row>
    <row r="2265" spans="1:10" ht="25.5" customHeight="1">
      <c r="A2265" s="1784">
        <f>'PLANILHA SEM DESON'!B335</f>
        <v>86879</v>
      </c>
      <c r="B2265" s="1940" t="str">
        <f>VLOOKUP(A2265,'PLANILHA SEM DESON'!$B$17:$D$1700,2,FALSE)</f>
        <v>VÁLVULA EM PLÁSTICO 1" PARA PIA, TANQUE OU LAVATÓRIO, COM OU SEM LADRÃO - FORNECIMENTO E INSTALAÇÃO. AF_01/2020</v>
      </c>
      <c r="C2265" s="1941"/>
      <c r="D2265" s="1941"/>
      <c r="E2265" s="1941"/>
      <c r="F2265" s="1941"/>
      <c r="G2265" s="1941"/>
      <c r="H2265" s="1942"/>
      <c r="I2265" s="1785" t="str">
        <f>VLOOKUP(A2265,'PLANILHA SEM DESON'!$B$17:$D$1700,3,FALSE)</f>
        <v xml:space="preserve">un </v>
      </c>
      <c r="J2265" s="1786">
        <f>I2271</f>
        <v>11.22</v>
      </c>
    </row>
    <row r="2266" spans="1:10" ht="24">
      <c r="A2266" s="1788" t="s">
        <v>2470</v>
      </c>
      <c r="B2266" s="1789" t="s">
        <v>2471</v>
      </c>
      <c r="C2266" s="1790" t="s">
        <v>2468</v>
      </c>
      <c r="D2266" s="1791" t="s">
        <v>308</v>
      </c>
      <c r="E2266" s="1790" t="s">
        <v>202</v>
      </c>
      <c r="F2266" s="1792" t="s">
        <v>2472</v>
      </c>
      <c r="G2266" s="1790" t="s">
        <v>2473</v>
      </c>
      <c r="H2266" s="1793" t="s">
        <v>2474</v>
      </c>
      <c r="I2266" s="1794" t="s">
        <v>2475</v>
      </c>
      <c r="J2266" s="1795"/>
    </row>
    <row r="2267" spans="1:10">
      <c r="A2267" s="1797" t="s">
        <v>2476</v>
      </c>
      <c r="B2267" s="1798" t="s">
        <v>2479</v>
      </c>
      <c r="C2267" s="1798">
        <v>3146</v>
      </c>
      <c r="D2267" s="1799" t="s">
        <v>2748</v>
      </c>
      <c r="E2267" s="1800" t="s">
        <v>2501</v>
      </c>
      <c r="F2267" s="1807">
        <v>3.32E-2</v>
      </c>
      <c r="G2267" s="1801">
        <v>4.88</v>
      </c>
      <c r="H2267" s="1802">
        <f>IF(E2267="H",G2267,TRUNC(G2267*(1-$K$7),2))</f>
        <v>4.8499999999999996</v>
      </c>
      <c r="I2267" s="1803">
        <f t="shared" ref="I2267:I2270" si="321">TRUNC(H2267*F2267,2)</f>
        <v>0.16</v>
      </c>
      <c r="J2267" s="1795"/>
    </row>
    <row r="2268" spans="1:10" ht="24">
      <c r="A2268" s="1797" t="s">
        <v>2476</v>
      </c>
      <c r="B2268" s="1798" t="s">
        <v>2479</v>
      </c>
      <c r="C2268" s="1798">
        <v>6153</v>
      </c>
      <c r="D2268" s="1799" t="s">
        <v>2800</v>
      </c>
      <c r="E2268" s="1800" t="s">
        <v>2501</v>
      </c>
      <c r="F2268" s="1807">
        <v>1</v>
      </c>
      <c r="G2268" s="1801">
        <v>7.32</v>
      </c>
      <c r="H2268" s="1802">
        <f>IF(E2268="H",G2268,TRUNC(G2268*(1-$K$7),2))</f>
        <v>7.28</v>
      </c>
      <c r="I2268" s="1803">
        <f t="shared" si="321"/>
        <v>7.28</v>
      </c>
      <c r="J2268" s="1795"/>
    </row>
    <row r="2269" spans="1:10" ht="24">
      <c r="A2269" s="1797" t="s">
        <v>2476</v>
      </c>
      <c r="B2269" s="1798" t="s">
        <v>7</v>
      </c>
      <c r="C2269" s="1798">
        <v>88267</v>
      </c>
      <c r="D2269" s="1799" t="s">
        <v>102</v>
      </c>
      <c r="E2269" s="1800" t="s">
        <v>411</v>
      </c>
      <c r="F2269" s="1807">
        <v>0.1232</v>
      </c>
      <c r="G2269" s="1801">
        <v>24.64</v>
      </c>
      <c r="H2269" s="1802">
        <f>IF(E2269="H",G2269,TRUNC(G2269*(1-$K$7),2))</f>
        <v>24.64</v>
      </c>
      <c r="I2269" s="1803">
        <f t="shared" si="321"/>
        <v>3.03</v>
      </c>
      <c r="J2269" s="1795"/>
    </row>
    <row r="2270" spans="1:10">
      <c r="A2270" s="1797" t="s">
        <v>2476</v>
      </c>
      <c r="B2270" s="1798" t="s">
        <v>7</v>
      </c>
      <c r="C2270" s="1798">
        <v>88316</v>
      </c>
      <c r="D2270" s="1799" t="s">
        <v>66</v>
      </c>
      <c r="E2270" s="1800" t="s">
        <v>411</v>
      </c>
      <c r="F2270" s="1807">
        <v>3.8800000000000001E-2</v>
      </c>
      <c r="G2270" s="1801">
        <v>19.45</v>
      </c>
      <c r="H2270" s="1802">
        <f>IF(E2270="H",G2270,TRUNC(G2270*(1-$K$7),2))</f>
        <v>19.45</v>
      </c>
      <c r="I2270" s="1803">
        <f t="shared" si="321"/>
        <v>0.75</v>
      </c>
      <c r="J2270" s="1795"/>
    </row>
    <row r="2271" spans="1:10">
      <c r="A2271" s="1943" t="s">
        <v>2477</v>
      </c>
      <c r="B2271" s="1944"/>
      <c r="C2271" s="1944"/>
      <c r="D2271" s="1944"/>
      <c r="E2271" s="1944"/>
      <c r="F2271" s="1944"/>
      <c r="G2271" s="1944"/>
      <c r="H2271" s="1945"/>
      <c r="I2271" s="1805">
        <f>SUM(I2267:I2270)</f>
        <v>11.22</v>
      </c>
      <c r="J2271" s="1795"/>
    </row>
    <row r="2272" spans="1:10">
      <c r="A2272" s="1929"/>
      <c r="B2272" s="1930"/>
      <c r="C2272" s="1930"/>
      <c r="D2272" s="1930"/>
      <c r="E2272" s="1930"/>
      <c r="F2272" s="1930"/>
      <c r="G2272" s="1930"/>
      <c r="H2272" s="1930"/>
      <c r="I2272" s="1931"/>
      <c r="J2272" s="1795"/>
    </row>
    <row r="2273" spans="1:10">
      <c r="A2273" s="1784">
        <f>'PLANILHA SEM DESON'!B339</f>
        <v>96522</v>
      </c>
      <c r="B2273" s="1940" t="str">
        <f>VLOOKUP(A2273,'PLANILHA SEM DESON'!$B$17:$D$1700,2,FALSE)</f>
        <v>ESCAVAÇÃO MANUAL PARA BLOCO DE COROAMENTO OU SAPATA, SEM PREVISÃO DE FÔRMA. AF_06/2017</v>
      </c>
      <c r="C2273" s="1941"/>
      <c r="D2273" s="1941"/>
      <c r="E2273" s="1941"/>
      <c r="F2273" s="1941"/>
      <c r="G2273" s="1941"/>
      <c r="H2273" s="1942"/>
      <c r="I2273" s="1785" t="str">
        <f>VLOOKUP(A2273,'PLANILHA SEM DESON'!$B$17:$D$1700,3,FALSE)</f>
        <v>m³</v>
      </c>
      <c r="J2273" s="1786">
        <f>I2277</f>
        <v>138.69999999999999</v>
      </c>
    </row>
    <row r="2274" spans="1:10" ht="24">
      <c r="A2274" s="1788" t="s">
        <v>2470</v>
      </c>
      <c r="B2274" s="1789" t="s">
        <v>2471</v>
      </c>
      <c r="C2274" s="1790" t="s">
        <v>2468</v>
      </c>
      <c r="D2274" s="1791" t="s">
        <v>308</v>
      </c>
      <c r="E2274" s="1790" t="s">
        <v>202</v>
      </c>
      <c r="F2274" s="1792" t="s">
        <v>2472</v>
      </c>
      <c r="G2274" s="1790" t="s">
        <v>2473</v>
      </c>
      <c r="H2274" s="1793" t="s">
        <v>2474</v>
      </c>
      <c r="I2274" s="1794" t="s">
        <v>2475</v>
      </c>
      <c r="J2274" s="1795"/>
    </row>
    <row r="2275" spans="1:10">
      <c r="A2275" s="1797" t="s">
        <v>2476</v>
      </c>
      <c r="B2275" s="1798" t="s">
        <v>7</v>
      </c>
      <c r="C2275" s="1798">
        <v>88309</v>
      </c>
      <c r="D2275" s="1799" t="s">
        <v>103</v>
      </c>
      <c r="E2275" s="1800" t="s">
        <v>411</v>
      </c>
      <c r="F2275" s="1807">
        <v>2.3610000000000002</v>
      </c>
      <c r="G2275" s="1801">
        <v>24.59</v>
      </c>
      <c r="H2275" s="1802">
        <f>IF(E2275="H",G2275,TRUNC(G2275*(1-$K$7),2))</f>
        <v>24.59</v>
      </c>
      <c r="I2275" s="1803">
        <f t="shared" ref="I2275:I2276" si="322">TRUNC(H2275*F2275,2)</f>
        <v>58.05</v>
      </c>
      <c r="J2275" s="1795"/>
    </row>
    <row r="2276" spans="1:10">
      <c r="A2276" s="1797" t="s">
        <v>2476</v>
      </c>
      <c r="B2276" s="1798" t="s">
        <v>7</v>
      </c>
      <c r="C2276" s="1798">
        <v>88316</v>
      </c>
      <c r="D2276" s="1799" t="s">
        <v>66</v>
      </c>
      <c r="E2276" s="1800" t="s">
        <v>411</v>
      </c>
      <c r="F2276" s="1807">
        <v>4.1470000000000002</v>
      </c>
      <c r="G2276" s="1801">
        <v>19.45</v>
      </c>
      <c r="H2276" s="1802">
        <f>IF(E2276="H",G2276,TRUNC(G2276*(1-$K$7),2))</f>
        <v>19.45</v>
      </c>
      <c r="I2276" s="1803">
        <f t="shared" si="322"/>
        <v>80.650000000000006</v>
      </c>
      <c r="J2276" s="1795"/>
    </row>
    <row r="2277" spans="1:10">
      <c r="A2277" s="1943" t="s">
        <v>2477</v>
      </c>
      <c r="B2277" s="1944"/>
      <c r="C2277" s="1944"/>
      <c r="D2277" s="1944"/>
      <c r="E2277" s="1944"/>
      <c r="F2277" s="1944"/>
      <c r="G2277" s="1944"/>
      <c r="H2277" s="1945"/>
      <c r="I2277" s="1805">
        <f>SUM(I2275:I2276)</f>
        <v>138.69999999999999</v>
      </c>
      <c r="J2277" s="1795"/>
    </row>
    <row r="2278" spans="1:10">
      <c r="A2278" s="1929"/>
      <c r="B2278" s="1930"/>
      <c r="C2278" s="1930"/>
      <c r="D2278" s="1930"/>
      <c r="E2278" s="1930"/>
      <c r="F2278" s="1930"/>
      <c r="G2278" s="1930"/>
      <c r="H2278" s="1930"/>
      <c r="I2278" s="1931"/>
      <c r="J2278" s="1795"/>
    </row>
    <row r="2279" spans="1:10" ht="25.5" customHeight="1">
      <c r="A2279" s="1784">
        <f>'PLANILHA SEM DESON'!B340</f>
        <v>100323</v>
      </c>
      <c r="B2279" s="1940" t="str">
        <f>VLOOKUP(A2279,'PLANILHA SEM DESON'!$B$17:$D$1700,2,FALSE)</f>
        <v>LASTRO COM MATERIAL GRANULAR (AREIA MÉDIA), APLICADO EM PISOS OU LAJES SOBRE SOLO, ESPESSURA DE *10 CM*. AF_07/2019</v>
      </c>
      <c r="C2279" s="1941"/>
      <c r="D2279" s="1941"/>
      <c r="E2279" s="1941"/>
      <c r="F2279" s="1941"/>
      <c r="G2279" s="1941"/>
      <c r="H2279" s="1942"/>
      <c r="I2279" s="1785" t="str">
        <f>VLOOKUP(A2279,'PLANILHA SEM DESON'!$B$17:$D$1700,3,FALSE)</f>
        <v>m³</v>
      </c>
      <c r="J2279" s="1786">
        <f>I2286</f>
        <v>172.77999999999997</v>
      </c>
    </row>
    <row r="2280" spans="1:10" ht="24">
      <c r="A2280" s="1788" t="s">
        <v>2470</v>
      </c>
      <c r="B2280" s="1789" t="s">
        <v>2471</v>
      </c>
      <c r="C2280" s="1790" t="s">
        <v>2468</v>
      </c>
      <c r="D2280" s="1791" t="s">
        <v>308</v>
      </c>
      <c r="E2280" s="1790" t="s">
        <v>202</v>
      </c>
      <c r="F2280" s="1792" t="s">
        <v>2472</v>
      </c>
      <c r="G2280" s="1790" t="s">
        <v>2473</v>
      </c>
      <c r="H2280" s="1793" t="s">
        <v>2474</v>
      </c>
      <c r="I2280" s="1794" t="s">
        <v>2475</v>
      </c>
      <c r="J2280" s="1795"/>
    </row>
    <row r="2281" spans="1:10" ht="24">
      <c r="A2281" s="1797" t="s">
        <v>2476</v>
      </c>
      <c r="B2281" s="1798" t="s">
        <v>2479</v>
      </c>
      <c r="C2281" s="1798">
        <v>370</v>
      </c>
      <c r="D2281" s="1799" t="s">
        <v>2619</v>
      </c>
      <c r="E2281" s="1800" t="s">
        <v>1171</v>
      </c>
      <c r="F2281" s="1807">
        <v>1.1299999999999999</v>
      </c>
      <c r="G2281" s="1801">
        <v>125</v>
      </c>
      <c r="H2281" s="1802">
        <f>IF(E2281="H",G2281,TRUNC(G2281*(1-$K$7),2))</f>
        <v>124.36</v>
      </c>
      <c r="I2281" s="1803">
        <f t="shared" ref="I2281:I2285" si="323">TRUNC(H2281*F2281,2)</f>
        <v>140.52000000000001</v>
      </c>
      <c r="J2281" s="1795"/>
    </row>
    <row r="2282" spans="1:10">
      <c r="A2282" s="1797" t="s">
        <v>2476</v>
      </c>
      <c r="B2282" s="1798" t="s">
        <v>7</v>
      </c>
      <c r="C2282" s="1798">
        <v>88309</v>
      </c>
      <c r="D2282" s="1799" t="s">
        <v>103</v>
      </c>
      <c r="E2282" s="1800" t="s">
        <v>411</v>
      </c>
      <c r="F2282" s="1807">
        <v>1.03</v>
      </c>
      <c r="G2282" s="1801">
        <v>24.59</v>
      </c>
      <c r="H2282" s="1802">
        <f>IF(E2282="H",G2282,TRUNC(G2282*(1-$K$7),2))</f>
        <v>24.59</v>
      </c>
      <c r="I2282" s="1803">
        <f t="shared" si="323"/>
        <v>25.32</v>
      </c>
      <c r="J2282" s="1795"/>
    </row>
    <row r="2283" spans="1:10">
      <c r="A2283" s="1797" t="s">
        <v>2476</v>
      </c>
      <c r="B2283" s="1798" t="s">
        <v>7</v>
      </c>
      <c r="C2283" s="1798">
        <v>88316</v>
      </c>
      <c r="D2283" s="1799" t="s">
        <v>66</v>
      </c>
      <c r="E2283" s="1800" t="s">
        <v>411</v>
      </c>
      <c r="F2283" s="1807">
        <v>0.34300000000000003</v>
      </c>
      <c r="G2283" s="1801">
        <v>19.45</v>
      </c>
      <c r="H2283" s="1802">
        <f>IF(E2283="H",G2283,TRUNC(G2283*(1-$K$7),2))</f>
        <v>19.45</v>
      </c>
      <c r="I2283" s="1803">
        <f t="shared" si="323"/>
        <v>6.67</v>
      </c>
      <c r="J2283" s="1795"/>
    </row>
    <row r="2284" spans="1:10" ht="36">
      <c r="A2284" s="1797" t="s">
        <v>2476</v>
      </c>
      <c r="B2284" s="1798" t="s">
        <v>7</v>
      </c>
      <c r="C2284" s="1798">
        <v>91277</v>
      </c>
      <c r="D2284" s="1799" t="s">
        <v>2801</v>
      </c>
      <c r="E2284" s="1800" t="s">
        <v>456</v>
      </c>
      <c r="F2284" s="1807">
        <v>3.2000000000000001E-2</v>
      </c>
      <c r="G2284" s="1801">
        <v>8.18</v>
      </c>
      <c r="H2284" s="1802">
        <f>IF(E2284="H",G2284,TRUNC(G2284*(1-$K$7),2))</f>
        <v>8.1300000000000008</v>
      </c>
      <c r="I2284" s="1803">
        <f t="shared" si="323"/>
        <v>0.26</v>
      </c>
      <c r="J2284" s="1795"/>
    </row>
    <row r="2285" spans="1:10" ht="36">
      <c r="A2285" s="1797" t="s">
        <v>2476</v>
      </c>
      <c r="B2285" s="1798" t="s">
        <v>7</v>
      </c>
      <c r="C2285" s="1798">
        <v>91278</v>
      </c>
      <c r="D2285" s="1799" t="s">
        <v>2802</v>
      </c>
      <c r="E2285" s="1800" t="s">
        <v>577</v>
      </c>
      <c r="F2285" s="1807">
        <v>0.03</v>
      </c>
      <c r="G2285" s="1801">
        <v>0.57999999999999996</v>
      </c>
      <c r="H2285" s="1802">
        <f>IF(E2285="H",G2285,TRUNC(G2285*(1-$K$7),2))</f>
        <v>0.56999999999999995</v>
      </c>
      <c r="I2285" s="1803">
        <f t="shared" si="323"/>
        <v>0.01</v>
      </c>
      <c r="J2285" s="1795"/>
    </row>
    <row r="2286" spans="1:10">
      <c r="A2286" s="1943" t="s">
        <v>2477</v>
      </c>
      <c r="B2286" s="1944"/>
      <c r="C2286" s="1944"/>
      <c r="D2286" s="1944"/>
      <c r="E2286" s="1944"/>
      <c r="F2286" s="1944"/>
      <c r="G2286" s="1944"/>
      <c r="H2286" s="1945"/>
      <c r="I2286" s="1805">
        <f>SUM(I2281:I2285)</f>
        <v>172.77999999999997</v>
      </c>
      <c r="J2286" s="1795"/>
    </row>
    <row r="2287" spans="1:10">
      <c r="A2287" s="1929"/>
      <c r="B2287" s="1930"/>
      <c r="C2287" s="1930"/>
      <c r="D2287" s="1930"/>
      <c r="E2287" s="1930"/>
      <c r="F2287" s="1930"/>
      <c r="G2287" s="1930"/>
      <c r="H2287" s="1930"/>
      <c r="I2287" s="1931"/>
      <c r="J2287" s="1795"/>
    </row>
    <row r="2288" spans="1:10" ht="25.5" customHeight="1">
      <c r="A2288" s="1784">
        <f>'PLANILHA SEM DESON'!B341</f>
        <v>101159</v>
      </c>
      <c r="B2288" s="1940" t="str">
        <f>VLOOKUP(A2288,'PLANILHA SEM DESON'!$B$17:$D$1700,2,FALSE)</f>
        <v>ALVENARIA DE VEDAÇÃO DE BLOCOS CERÂMICOS MACIÇOS DE 5X10X20CM (ESPESSURA 10CM) E ARGAMASSA DE ASSENTAMENTO COM PREPARO EM BETONEIRA. AF_05/2020</v>
      </c>
      <c r="C2288" s="1941"/>
      <c r="D2288" s="1941"/>
      <c r="E2288" s="1941"/>
      <c r="F2288" s="1941"/>
      <c r="G2288" s="1941"/>
      <c r="H2288" s="1942"/>
      <c r="I2288" s="1785" t="str">
        <f>VLOOKUP(A2288,'PLANILHA SEM DESON'!$B$17:$D$1700,3,FALSE)</f>
        <v>m²</v>
      </c>
      <c r="J2288" s="1786">
        <f>I2294</f>
        <v>149.51</v>
      </c>
    </row>
    <row r="2289" spans="1:10" ht="24">
      <c r="A2289" s="1788" t="s">
        <v>2470</v>
      </c>
      <c r="B2289" s="1789" t="s">
        <v>2471</v>
      </c>
      <c r="C2289" s="1790" t="s">
        <v>2468</v>
      </c>
      <c r="D2289" s="1791" t="s">
        <v>308</v>
      </c>
      <c r="E2289" s="1790" t="s">
        <v>202</v>
      </c>
      <c r="F2289" s="1792" t="s">
        <v>2472</v>
      </c>
      <c r="G2289" s="1790" t="s">
        <v>2473</v>
      </c>
      <c r="H2289" s="1793" t="s">
        <v>2474</v>
      </c>
      <c r="I2289" s="1794" t="s">
        <v>2475</v>
      </c>
      <c r="J2289" s="1795"/>
    </row>
    <row r="2290" spans="1:10" ht="24">
      <c r="A2290" s="1797" t="s">
        <v>2476</v>
      </c>
      <c r="B2290" s="1798" t="s">
        <v>2479</v>
      </c>
      <c r="C2290" s="1798">
        <v>7258</v>
      </c>
      <c r="D2290" s="1799" t="s">
        <v>2803</v>
      </c>
      <c r="E2290" s="1800" t="s">
        <v>2501</v>
      </c>
      <c r="F2290" s="1807">
        <v>73.489999999999995</v>
      </c>
      <c r="G2290" s="1801">
        <v>0.92</v>
      </c>
      <c r="H2290" s="1802">
        <f>IF(E2290="H",G2290,TRUNC(G2290*(1-$K$7),2))</f>
        <v>0.91</v>
      </c>
      <c r="I2290" s="1803">
        <f t="shared" ref="I2290:I2293" si="324">TRUNC(H2290*F2290,2)</f>
        <v>66.87</v>
      </c>
      <c r="J2290" s="1795"/>
    </row>
    <row r="2291" spans="1:10" ht="60">
      <c r="A2291" s="1797" t="s">
        <v>2476</v>
      </c>
      <c r="B2291" s="1798" t="s">
        <v>7</v>
      </c>
      <c r="C2291" s="1798">
        <v>87292</v>
      </c>
      <c r="D2291" s="1799" t="s">
        <v>2648</v>
      </c>
      <c r="E2291" s="1800" t="s">
        <v>1171</v>
      </c>
      <c r="F2291" s="1807">
        <v>2.8000000000000001E-2</v>
      </c>
      <c r="G2291" s="1801">
        <v>578.16</v>
      </c>
      <c r="H2291" s="1802">
        <f>IF(E2291="H",G2291,TRUNC(G2291*(1-$K$7),2))</f>
        <v>575.21</v>
      </c>
      <c r="I2291" s="1803">
        <f t="shared" si="324"/>
        <v>16.100000000000001</v>
      </c>
      <c r="J2291" s="1795"/>
    </row>
    <row r="2292" spans="1:10">
      <c r="A2292" s="1797" t="s">
        <v>2476</v>
      </c>
      <c r="B2292" s="1798" t="s">
        <v>7</v>
      </c>
      <c r="C2292" s="1798">
        <v>88309</v>
      </c>
      <c r="D2292" s="1799" t="s">
        <v>103</v>
      </c>
      <c r="E2292" s="1800" t="s">
        <v>411</v>
      </c>
      <c r="F2292" s="1807">
        <v>1.9390000000000001</v>
      </c>
      <c r="G2292" s="1801">
        <v>24.59</v>
      </c>
      <c r="H2292" s="1802">
        <f>IF(E2292="H",G2292,TRUNC(G2292*(1-$K$7),2))</f>
        <v>24.59</v>
      </c>
      <c r="I2292" s="1803">
        <f t="shared" si="324"/>
        <v>47.68</v>
      </c>
      <c r="J2292" s="1795"/>
    </row>
    <row r="2293" spans="1:10">
      <c r="A2293" s="1797" t="s">
        <v>2476</v>
      </c>
      <c r="B2293" s="1798" t="s">
        <v>7</v>
      </c>
      <c r="C2293" s="1798">
        <v>88316</v>
      </c>
      <c r="D2293" s="1799" t="s">
        <v>66</v>
      </c>
      <c r="E2293" s="1800" t="s">
        <v>411</v>
      </c>
      <c r="F2293" s="1807">
        <v>0.97</v>
      </c>
      <c r="G2293" s="1801">
        <v>19.45</v>
      </c>
      <c r="H2293" s="1802">
        <f>IF(E2293="H",G2293,TRUNC(G2293*(1-$K$7),2))</f>
        <v>19.45</v>
      </c>
      <c r="I2293" s="1803">
        <f t="shared" si="324"/>
        <v>18.86</v>
      </c>
      <c r="J2293" s="1795"/>
    </row>
    <row r="2294" spans="1:10">
      <c r="A2294" s="1943" t="s">
        <v>2477</v>
      </c>
      <c r="B2294" s="1944"/>
      <c r="C2294" s="1944"/>
      <c r="D2294" s="1944"/>
      <c r="E2294" s="1944"/>
      <c r="F2294" s="1944"/>
      <c r="G2294" s="1944"/>
      <c r="H2294" s="1945"/>
      <c r="I2294" s="1805">
        <f>SUM(I2290:I2293)</f>
        <v>149.51</v>
      </c>
      <c r="J2294" s="1795"/>
    </row>
    <row r="2295" spans="1:10">
      <c r="A2295" s="1929"/>
      <c r="B2295" s="1930"/>
      <c r="C2295" s="1930"/>
      <c r="D2295" s="1930"/>
      <c r="E2295" s="1930"/>
      <c r="F2295" s="1930"/>
      <c r="G2295" s="1930"/>
      <c r="H2295" s="1930"/>
      <c r="I2295" s="1931"/>
      <c r="J2295" s="1795"/>
    </row>
    <row r="2296" spans="1:10" ht="23.25" customHeight="1">
      <c r="A2296" s="1784">
        <f>'PLANILHA SEM DESON'!B345</f>
        <v>87893</v>
      </c>
      <c r="B2296" s="1940" t="str">
        <f>VLOOKUP(A2296,'PLANILHA SEM DESON'!$B$17:$D$1700,2,FALSE)</f>
        <v>CHAPISCO APLICADO EM ALVENARIA (SEM PRESENÇA DE VÃOS) E ESTRUTURAS DE CONCRETO DE FACHADA, COM COLHER DE PEDREIRO. ARGAMASSA TRAÇO 1:3 COM PREPARO MANUAL. AF_06/2014</v>
      </c>
      <c r="C2296" s="1941"/>
      <c r="D2296" s="1941"/>
      <c r="E2296" s="1941"/>
      <c r="F2296" s="1941"/>
      <c r="G2296" s="1941"/>
      <c r="H2296" s="1942"/>
      <c r="I2296" s="1785" t="str">
        <f>VLOOKUP(A2296,'PLANILHA SEM DESON'!$B$17:$D$1700,3,FALSE)</f>
        <v>m²</v>
      </c>
      <c r="J2296" s="1786">
        <f>I2301</f>
        <v>7</v>
      </c>
    </row>
    <row r="2297" spans="1:10" ht="24">
      <c r="A2297" s="1788" t="s">
        <v>2470</v>
      </c>
      <c r="B2297" s="1789" t="s">
        <v>2471</v>
      </c>
      <c r="C2297" s="1790" t="s">
        <v>2468</v>
      </c>
      <c r="D2297" s="1791" t="s">
        <v>308</v>
      </c>
      <c r="E2297" s="1790" t="s">
        <v>202</v>
      </c>
      <c r="F2297" s="1792" t="s">
        <v>2472</v>
      </c>
      <c r="G2297" s="1790" t="s">
        <v>2473</v>
      </c>
      <c r="H2297" s="1793" t="s">
        <v>2474</v>
      </c>
      <c r="I2297" s="1794" t="s">
        <v>2475</v>
      </c>
      <c r="J2297" s="1795"/>
    </row>
    <row r="2298" spans="1:10" ht="36">
      <c r="A2298" s="1797" t="s">
        <v>2476</v>
      </c>
      <c r="B2298" s="1798" t="s">
        <v>7</v>
      </c>
      <c r="C2298" s="1798">
        <v>87377</v>
      </c>
      <c r="D2298" s="1799" t="s">
        <v>2661</v>
      </c>
      <c r="E2298" s="1800" t="s">
        <v>1171</v>
      </c>
      <c r="F2298" s="1807">
        <v>3.7000000000000002E-3</v>
      </c>
      <c r="G2298" s="1801">
        <v>730.63</v>
      </c>
      <c r="H2298" s="1802">
        <f>IF(E2298="H",G2298,TRUNC(G2298*(1-$K$7),2))</f>
        <v>726.9</v>
      </c>
      <c r="I2298" s="1803">
        <f t="shared" ref="I2298:I2300" si="325">TRUNC(H2298*F2298,2)</f>
        <v>2.68</v>
      </c>
      <c r="J2298" s="1795"/>
    </row>
    <row r="2299" spans="1:10">
      <c r="A2299" s="1797" t="s">
        <v>2476</v>
      </c>
      <c r="B2299" s="1798" t="s">
        <v>7</v>
      </c>
      <c r="C2299" s="1798">
        <v>88309</v>
      </c>
      <c r="D2299" s="1799" t="s">
        <v>103</v>
      </c>
      <c r="E2299" s="1800" t="s">
        <v>411</v>
      </c>
      <c r="F2299" s="1807">
        <v>0.1394</v>
      </c>
      <c r="G2299" s="1801">
        <v>24.59</v>
      </c>
      <c r="H2299" s="1802">
        <f>IF(E2299="H",G2299,TRUNC(G2299*(1-$K$7),2))</f>
        <v>24.59</v>
      </c>
      <c r="I2299" s="1803">
        <f t="shared" si="325"/>
        <v>3.42</v>
      </c>
      <c r="J2299" s="1795"/>
    </row>
    <row r="2300" spans="1:10">
      <c r="A2300" s="1797" t="s">
        <v>2476</v>
      </c>
      <c r="B2300" s="1798" t="s">
        <v>7</v>
      </c>
      <c r="C2300" s="1798">
        <v>88316</v>
      </c>
      <c r="D2300" s="1799" t="s">
        <v>66</v>
      </c>
      <c r="E2300" s="1800" t="s">
        <v>411</v>
      </c>
      <c r="F2300" s="1807">
        <v>4.65E-2</v>
      </c>
      <c r="G2300" s="1801">
        <v>19.45</v>
      </c>
      <c r="H2300" s="1802">
        <f>IF(E2300="H",G2300,TRUNC(G2300*(1-$K$7),2))</f>
        <v>19.45</v>
      </c>
      <c r="I2300" s="1803">
        <f t="shared" si="325"/>
        <v>0.9</v>
      </c>
      <c r="J2300" s="1795"/>
    </row>
    <row r="2301" spans="1:10">
      <c r="A2301" s="1943" t="s">
        <v>2477</v>
      </c>
      <c r="B2301" s="1944"/>
      <c r="C2301" s="1944"/>
      <c r="D2301" s="1944"/>
      <c r="E2301" s="1944"/>
      <c r="F2301" s="1944"/>
      <c r="G2301" s="1944"/>
      <c r="H2301" s="1945"/>
      <c r="I2301" s="1805">
        <f>SUM(I2298:I2300)</f>
        <v>7</v>
      </c>
      <c r="J2301" s="1795"/>
    </row>
    <row r="2302" spans="1:10">
      <c r="A2302" s="1929"/>
      <c r="B2302" s="1930"/>
      <c r="C2302" s="1930"/>
      <c r="D2302" s="1930"/>
      <c r="E2302" s="1930"/>
      <c r="F2302" s="1930"/>
      <c r="G2302" s="1930"/>
      <c r="H2302" s="1930"/>
      <c r="I2302" s="1931"/>
      <c r="J2302" s="1795"/>
    </row>
    <row r="2303" spans="1:10" ht="24.75" customHeight="1">
      <c r="A2303" s="1784">
        <f>'PLANILHA SEM DESON'!B346</f>
        <v>97086</v>
      </c>
      <c r="B2303" s="1940" t="str">
        <f>VLOOKUP(A2303,'PLANILHA SEM DESON'!$B$17:$D$1700,2,FALSE)</f>
        <v>FABRICAÇÃO, MONTAGEM E DESMONTAGEM DE FORMA PARA RADIER, EM MADEIRA SERRADA, 4 UTILIZAÇÕES. AF_09/2017</v>
      </c>
      <c r="C2303" s="1941"/>
      <c r="D2303" s="1941"/>
      <c r="E2303" s="1941"/>
      <c r="F2303" s="1941"/>
      <c r="G2303" s="1941"/>
      <c r="H2303" s="1942"/>
      <c r="I2303" s="1785" t="str">
        <f>VLOOKUP(A2303,'PLANILHA SEM DESON'!$B$17:$D$1700,3,FALSE)</f>
        <v>m²</v>
      </c>
      <c r="J2303" s="1786">
        <f>I2312</f>
        <v>120.35</v>
      </c>
    </row>
    <row r="2304" spans="1:10" ht="24">
      <c r="A2304" s="1788" t="s">
        <v>2470</v>
      </c>
      <c r="B2304" s="1789" t="s">
        <v>2471</v>
      </c>
      <c r="C2304" s="1790" t="s">
        <v>2468</v>
      </c>
      <c r="D2304" s="1791" t="s">
        <v>308</v>
      </c>
      <c r="E2304" s="1790" t="s">
        <v>202</v>
      </c>
      <c r="F2304" s="1792" t="s">
        <v>2472</v>
      </c>
      <c r="G2304" s="1790" t="s">
        <v>2473</v>
      </c>
      <c r="H2304" s="1793" t="s">
        <v>2474</v>
      </c>
      <c r="I2304" s="1794" t="s">
        <v>2475</v>
      </c>
      <c r="J2304" s="1795"/>
    </row>
    <row r="2305" spans="1:10" ht="24">
      <c r="A2305" s="1797" t="s">
        <v>2476</v>
      </c>
      <c r="B2305" s="1798" t="s">
        <v>2479</v>
      </c>
      <c r="C2305" s="1798">
        <v>2692</v>
      </c>
      <c r="D2305" s="1799" t="s">
        <v>1730</v>
      </c>
      <c r="E2305" s="1800" t="s">
        <v>455</v>
      </c>
      <c r="F2305" s="1807">
        <v>1.7000000000000001E-2</v>
      </c>
      <c r="G2305" s="1801">
        <v>8.84</v>
      </c>
      <c r="H2305" s="1802">
        <f t="shared" ref="H2305:H2311" si="326">IF(E2305="H",G2305,TRUNC(G2305*(1-$K$7),2))</f>
        <v>8.7899999999999991</v>
      </c>
      <c r="I2305" s="1803">
        <f t="shared" ref="I2305:I2311" si="327">TRUNC(H2305*F2305,2)</f>
        <v>0.14000000000000001</v>
      </c>
      <c r="J2305" s="1795"/>
    </row>
    <row r="2306" spans="1:10" ht="24">
      <c r="A2306" s="1797" t="s">
        <v>2476</v>
      </c>
      <c r="B2306" s="1798" t="s">
        <v>2479</v>
      </c>
      <c r="C2306" s="1798">
        <v>4491</v>
      </c>
      <c r="D2306" s="1799" t="s">
        <v>1433</v>
      </c>
      <c r="E2306" s="1800" t="s">
        <v>160</v>
      </c>
      <c r="F2306" s="1807">
        <v>0.37</v>
      </c>
      <c r="G2306" s="1801">
        <v>11.67</v>
      </c>
      <c r="H2306" s="1802">
        <f t="shared" si="326"/>
        <v>11.61</v>
      </c>
      <c r="I2306" s="1803">
        <f t="shared" si="327"/>
        <v>4.29</v>
      </c>
      <c r="J2306" s="1795"/>
    </row>
    <row r="2307" spans="1:10" ht="24">
      <c r="A2307" s="1797" t="s">
        <v>2476</v>
      </c>
      <c r="B2307" s="1798" t="s">
        <v>2479</v>
      </c>
      <c r="C2307" s="1798">
        <v>4517</v>
      </c>
      <c r="D2307" s="1799" t="s">
        <v>1731</v>
      </c>
      <c r="E2307" s="1800" t="s">
        <v>160</v>
      </c>
      <c r="F2307" s="1807">
        <v>0.44</v>
      </c>
      <c r="G2307" s="1801">
        <v>4.08</v>
      </c>
      <c r="H2307" s="1802">
        <f t="shared" si="326"/>
        <v>4.05</v>
      </c>
      <c r="I2307" s="1803">
        <f t="shared" si="327"/>
        <v>1.78</v>
      </c>
      <c r="J2307" s="1795"/>
    </row>
    <row r="2308" spans="1:10">
      <c r="A2308" s="1797" t="s">
        <v>2476</v>
      </c>
      <c r="B2308" s="1798" t="s">
        <v>2479</v>
      </c>
      <c r="C2308" s="1798">
        <v>5068</v>
      </c>
      <c r="D2308" s="1799" t="s">
        <v>2497</v>
      </c>
      <c r="E2308" s="1800" t="s">
        <v>1184</v>
      </c>
      <c r="F2308" s="1807">
        <v>9.5000000000000001E-2</v>
      </c>
      <c r="G2308" s="1801">
        <v>25.89</v>
      </c>
      <c r="H2308" s="1802">
        <f t="shared" si="326"/>
        <v>25.75</v>
      </c>
      <c r="I2308" s="1803">
        <f t="shared" si="327"/>
        <v>2.44</v>
      </c>
      <c r="J2308" s="1795"/>
    </row>
    <row r="2309" spans="1:10" ht="36">
      <c r="A2309" s="1797" t="s">
        <v>2476</v>
      </c>
      <c r="B2309" s="1798" t="s">
        <v>2479</v>
      </c>
      <c r="C2309" s="1798">
        <v>6193</v>
      </c>
      <c r="D2309" s="1799" t="s">
        <v>2573</v>
      </c>
      <c r="E2309" s="1800" t="s">
        <v>160</v>
      </c>
      <c r="F2309" s="1807">
        <v>1.38</v>
      </c>
      <c r="G2309" s="1801">
        <v>18.010000000000002</v>
      </c>
      <c r="H2309" s="1802">
        <f t="shared" si="326"/>
        <v>17.91</v>
      </c>
      <c r="I2309" s="1803">
        <f t="shared" si="327"/>
        <v>24.71</v>
      </c>
      <c r="J2309" s="1795"/>
    </row>
    <row r="2310" spans="1:10" ht="24">
      <c r="A2310" s="1797" t="s">
        <v>2476</v>
      </c>
      <c r="B2310" s="1798" t="s">
        <v>7</v>
      </c>
      <c r="C2310" s="1798">
        <v>88239</v>
      </c>
      <c r="D2310" s="1799" t="s">
        <v>454</v>
      </c>
      <c r="E2310" s="1800" t="s">
        <v>411</v>
      </c>
      <c r="F2310" s="1807">
        <v>1.444</v>
      </c>
      <c r="G2310" s="1801">
        <v>20.55</v>
      </c>
      <c r="H2310" s="1802">
        <f t="shared" si="326"/>
        <v>20.55</v>
      </c>
      <c r="I2310" s="1803">
        <f t="shared" si="327"/>
        <v>29.67</v>
      </c>
      <c r="J2310" s="1795"/>
    </row>
    <row r="2311" spans="1:10" ht="24">
      <c r="A2311" s="1797" t="s">
        <v>2476</v>
      </c>
      <c r="B2311" s="1798" t="s">
        <v>7</v>
      </c>
      <c r="C2311" s="1798">
        <v>88262</v>
      </c>
      <c r="D2311" s="1799" t="s">
        <v>441</v>
      </c>
      <c r="E2311" s="1800" t="s">
        <v>411</v>
      </c>
      <c r="F2311" s="1807">
        <v>2.3570000000000002</v>
      </c>
      <c r="G2311" s="1801">
        <v>24.32</v>
      </c>
      <c r="H2311" s="1802">
        <f t="shared" si="326"/>
        <v>24.32</v>
      </c>
      <c r="I2311" s="1803">
        <f t="shared" si="327"/>
        <v>57.32</v>
      </c>
      <c r="J2311" s="1795"/>
    </row>
    <row r="2312" spans="1:10">
      <c r="A2312" s="1943" t="s">
        <v>2477</v>
      </c>
      <c r="B2312" s="1944"/>
      <c r="C2312" s="1944"/>
      <c r="D2312" s="1944"/>
      <c r="E2312" s="1944"/>
      <c r="F2312" s="1944"/>
      <c r="G2312" s="1944"/>
      <c r="H2312" s="1945"/>
      <c r="I2312" s="1805">
        <f>SUM(I2305:I2311)</f>
        <v>120.35</v>
      </c>
      <c r="J2312" s="1795"/>
    </row>
    <row r="2313" spans="1:10">
      <c r="A2313" s="1929"/>
      <c r="B2313" s="1930"/>
      <c r="C2313" s="1930"/>
      <c r="D2313" s="1930"/>
      <c r="E2313" s="1930"/>
      <c r="F2313" s="1930"/>
      <c r="G2313" s="1930"/>
      <c r="H2313" s="1930"/>
      <c r="I2313" s="1931"/>
      <c r="J2313" s="1795"/>
    </row>
    <row r="2314" spans="1:10" ht="24.75" customHeight="1">
      <c r="A2314" s="1784">
        <f>'PLANILHA SEM DESON'!B347</f>
        <v>92767</v>
      </c>
      <c r="B2314" s="1940" t="str">
        <f>VLOOKUP(A2314,'PLANILHA SEM DESON'!$B$17:$D$1700,2,FALSE)</f>
        <v>ARMAÇÃO DE LAJE DE ESTRUTURA CONVENCIONAL DE CONCRETO ARMADO UTILIZANDO AÇO CA-60 DE 4,2 MM - MONTAGEM. AF_06/2022</v>
      </c>
      <c r="C2314" s="1941"/>
      <c r="D2314" s="1941"/>
      <c r="E2314" s="1941"/>
      <c r="F2314" s="1941"/>
      <c r="G2314" s="1941"/>
      <c r="H2314" s="1942"/>
      <c r="I2314" s="1785" t="str">
        <f>VLOOKUP(A2314,'PLANILHA SEM DESON'!$B$17:$D$1700,3,FALSE)</f>
        <v>Kg</v>
      </c>
      <c r="J2314" s="1786">
        <f>I2321</f>
        <v>17.38</v>
      </c>
    </row>
    <row r="2315" spans="1:10" ht="24">
      <c r="A2315" s="1788" t="s">
        <v>2470</v>
      </c>
      <c r="B2315" s="1789" t="s">
        <v>2471</v>
      </c>
      <c r="C2315" s="1790" t="s">
        <v>2468</v>
      </c>
      <c r="D2315" s="1791" t="s">
        <v>308</v>
      </c>
      <c r="E2315" s="1790" t="s">
        <v>202</v>
      </c>
      <c r="F2315" s="1792" t="s">
        <v>2472</v>
      </c>
      <c r="G2315" s="1790" t="s">
        <v>2473</v>
      </c>
      <c r="H2315" s="1793" t="s">
        <v>2474</v>
      </c>
      <c r="I2315" s="1794" t="s">
        <v>2475</v>
      </c>
      <c r="J2315" s="1795"/>
    </row>
    <row r="2316" spans="1:10" ht="36">
      <c r="A2316" s="1797" t="s">
        <v>2476</v>
      </c>
      <c r="B2316" s="1798" t="s">
        <v>2479</v>
      </c>
      <c r="C2316" s="1798">
        <v>39017</v>
      </c>
      <c r="D2316" s="1799" t="s">
        <v>2627</v>
      </c>
      <c r="E2316" s="1800" t="s">
        <v>2501</v>
      </c>
      <c r="F2316" s="1807">
        <v>2.8159999999999998</v>
      </c>
      <c r="G2316" s="1801">
        <v>0.22</v>
      </c>
      <c r="H2316" s="1802">
        <f>IF(E2316="H",G2316,TRUNC(G2316*(1-$K$7),2))</f>
        <v>0.21</v>
      </c>
      <c r="I2316" s="1803">
        <f t="shared" ref="I2316:I2320" si="328">TRUNC(H2316*F2316,2)</f>
        <v>0.59</v>
      </c>
      <c r="J2316" s="1795"/>
    </row>
    <row r="2317" spans="1:10" ht="24">
      <c r="A2317" s="1797" t="s">
        <v>2476</v>
      </c>
      <c r="B2317" s="1798" t="s">
        <v>2479</v>
      </c>
      <c r="C2317" s="1798">
        <v>43132</v>
      </c>
      <c r="D2317" s="1799" t="s">
        <v>2628</v>
      </c>
      <c r="E2317" s="1800" t="s">
        <v>1383</v>
      </c>
      <c r="F2317" s="1807">
        <v>2.5000000000000001E-2</v>
      </c>
      <c r="G2317" s="1801">
        <v>24.9</v>
      </c>
      <c r="H2317" s="1802">
        <f>IF(E2317="H",G2317,TRUNC(G2317*(1-$K$7),2))</f>
        <v>24.77</v>
      </c>
      <c r="I2317" s="1803">
        <f t="shared" si="328"/>
        <v>0.61</v>
      </c>
      <c r="J2317" s="1795"/>
    </row>
    <row r="2318" spans="1:10" ht="24">
      <c r="A2318" s="1797" t="s">
        <v>2476</v>
      </c>
      <c r="B2318" s="1798" t="s">
        <v>7</v>
      </c>
      <c r="C2318" s="1798">
        <v>88238</v>
      </c>
      <c r="D2318" s="1799" t="s">
        <v>1212</v>
      </c>
      <c r="E2318" s="1800" t="s">
        <v>411</v>
      </c>
      <c r="F2318" s="1807">
        <v>1.72E-2</v>
      </c>
      <c r="G2318" s="1801">
        <v>19.41</v>
      </c>
      <c r="H2318" s="1802">
        <f>IF(E2318="H",G2318,TRUNC(G2318*(1-$K$7),2))</f>
        <v>19.41</v>
      </c>
      <c r="I2318" s="1803">
        <f t="shared" si="328"/>
        <v>0.33</v>
      </c>
      <c r="J2318" s="1795"/>
    </row>
    <row r="2319" spans="1:10">
      <c r="A2319" s="1797" t="s">
        <v>2476</v>
      </c>
      <c r="B2319" s="1798" t="s">
        <v>7</v>
      </c>
      <c r="C2319" s="1798">
        <v>88245</v>
      </c>
      <c r="D2319" s="1799" t="s">
        <v>1213</v>
      </c>
      <c r="E2319" s="1800" t="s">
        <v>411</v>
      </c>
      <c r="F2319" s="1807">
        <v>0.1055</v>
      </c>
      <c r="G2319" s="1801">
        <v>24.44</v>
      </c>
      <c r="H2319" s="1802">
        <f>IF(E2319="H",G2319,TRUNC(G2319*(1-$K$7),2))</f>
        <v>24.44</v>
      </c>
      <c r="I2319" s="1803">
        <f t="shared" si="328"/>
        <v>2.57</v>
      </c>
      <c r="J2319" s="1795"/>
    </row>
    <row r="2320" spans="1:10" ht="24">
      <c r="A2320" s="1797" t="s">
        <v>2476</v>
      </c>
      <c r="B2320" s="1798" t="s">
        <v>7</v>
      </c>
      <c r="C2320" s="1798">
        <v>92799</v>
      </c>
      <c r="D2320" s="1799" t="s">
        <v>2804</v>
      </c>
      <c r="E2320" s="1800" t="s">
        <v>1184</v>
      </c>
      <c r="F2320" s="1807">
        <v>1</v>
      </c>
      <c r="G2320" s="1801">
        <v>13.35</v>
      </c>
      <c r="H2320" s="1802">
        <f>IF(E2320="H",G2320,TRUNC(G2320*(1-$K$7),2))</f>
        <v>13.28</v>
      </c>
      <c r="I2320" s="1803">
        <f t="shared" si="328"/>
        <v>13.28</v>
      </c>
      <c r="J2320" s="1795"/>
    </row>
    <row r="2321" spans="1:10">
      <c r="A2321" s="1943" t="s">
        <v>2477</v>
      </c>
      <c r="B2321" s="1944"/>
      <c r="C2321" s="1944"/>
      <c r="D2321" s="1944"/>
      <c r="E2321" s="1944"/>
      <c r="F2321" s="1944"/>
      <c r="G2321" s="1944"/>
      <c r="H2321" s="1945"/>
      <c r="I2321" s="1805">
        <f>SUM(I2316:I2320)</f>
        <v>17.38</v>
      </c>
      <c r="J2321" s="1795"/>
    </row>
    <row r="2322" spans="1:10">
      <c r="A2322" s="1929"/>
      <c r="B2322" s="1930"/>
      <c r="C2322" s="1930"/>
      <c r="D2322" s="1930"/>
      <c r="E2322" s="1930"/>
      <c r="F2322" s="1930"/>
      <c r="G2322" s="1930"/>
      <c r="H2322" s="1930"/>
      <c r="I2322" s="1931"/>
      <c r="J2322" s="1795"/>
    </row>
    <row r="2323" spans="1:10" ht="25.5" customHeight="1">
      <c r="A2323" s="1784">
        <f>'PLANILHA SEM DESON'!B348</f>
        <v>98115</v>
      </c>
      <c r="B2323" s="1940" t="str">
        <f>VLOOKUP(A2323,'PLANILHA SEM DESON'!$B$17:$D$1700,2,FALSE)</f>
        <v>TAMPA CIRCULAR PARA ESGOTO E DRENAGEM, EM CONCRETO PRÉ-MOLDADO, DIÂMETRO INTERNO = 0,60 M E ALTURA = 0,10 M. AF_12/2020</v>
      </c>
      <c r="C2323" s="1941"/>
      <c r="D2323" s="1941"/>
      <c r="E2323" s="1941"/>
      <c r="F2323" s="1941"/>
      <c r="G2323" s="1941"/>
      <c r="H2323" s="1942"/>
      <c r="I2323" s="1785" t="str">
        <f>VLOOKUP(A2323,'PLANILHA SEM DESON'!$B$17:$D$1700,3,FALSE)</f>
        <v xml:space="preserve">un </v>
      </c>
      <c r="J2323" s="1786">
        <f>I2328</f>
        <v>98.850000000000009</v>
      </c>
    </row>
    <row r="2324" spans="1:10" ht="24">
      <c r="A2324" s="1788" t="s">
        <v>2470</v>
      </c>
      <c r="B2324" s="1789" t="s">
        <v>2471</v>
      </c>
      <c r="C2324" s="1790" t="s">
        <v>2468</v>
      </c>
      <c r="D2324" s="1791" t="s">
        <v>308</v>
      </c>
      <c r="E2324" s="1790" t="s">
        <v>202</v>
      </c>
      <c r="F2324" s="1792" t="s">
        <v>2472</v>
      </c>
      <c r="G2324" s="1790" t="s">
        <v>2473</v>
      </c>
      <c r="H2324" s="1793" t="s">
        <v>2474</v>
      </c>
      <c r="I2324" s="1794" t="s">
        <v>2475</v>
      </c>
      <c r="J2324" s="1795"/>
    </row>
    <row r="2325" spans="1:10">
      <c r="A2325" s="1797" t="s">
        <v>2476</v>
      </c>
      <c r="B2325" s="1798" t="s">
        <v>7</v>
      </c>
      <c r="C2325" s="1798">
        <v>88309</v>
      </c>
      <c r="D2325" s="1799" t="s">
        <v>103</v>
      </c>
      <c r="E2325" s="1800" t="s">
        <v>411</v>
      </c>
      <c r="F2325" s="1807">
        <v>0.10150000000000001</v>
      </c>
      <c r="G2325" s="1801">
        <v>24.59</v>
      </c>
      <c r="H2325" s="1802">
        <f>IF(E2325="H",G2325,TRUNC(G2325*(1-$K$7),2))</f>
        <v>24.59</v>
      </c>
      <c r="I2325" s="1803">
        <f t="shared" ref="I2325:I2327" si="329">TRUNC(H2325*F2325,2)</f>
        <v>2.4900000000000002</v>
      </c>
      <c r="J2325" s="1795"/>
    </row>
    <row r="2326" spans="1:10">
      <c r="A2326" s="1797" t="s">
        <v>2476</v>
      </c>
      <c r="B2326" s="1798" t="s">
        <v>7</v>
      </c>
      <c r="C2326" s="1798">
        <v>88316</v>
      </c>
      <c r="D2326" s="1799" t="s">
        <v>66</v>
      </c>
      <c r="E2326" s="1800" t="s">
        <v>411</v>
      </c>
      <c r="F2326" s="1807">
        <v>7.9799999999999996E-2</v>
      </c>
      <c r="G2326" s="1801">
        <v>19.45</v>
      </c>
      <c r="H2326" s="1802">
        <f>IF(E2326="H",G2326,TRUNC(G2326*(1-$K$7),2))</f>
        <v>19.45</v>
      </c>
      <c r="I2326" s="1803">
        <f t="shared" si="329"/>
        <v>1.55</v>
      </c>
      <c r="J2326" s="1795"/>
    </row>
    <row r="2327" spans="1:10" ht="36">
      <c r="A2327" s="1797" t="s">
        <v>2476</v>
      </c>
      <c r="B2327" s="1798" t="s">
        <v>7</v>
      </c>
      <c r="C2327" s="1798">
        <v>97735</v>
      </c>
      <c r="D2327" s="1799" t="s">
        <v>2805</v>
      </c>
      <c r="E2327" s="1800" t="s">
        <v>1171</v>
      </c>
      <c r="F2327" s="1807">
        <v>3.85E-2</v>
      </c>
      <c r="G2327" s="1801">
        <v>2475.2399999999998</v>
      </c>
      <c r="H2327" s="1802">
        <f>IF(E2327="H",G2327,TRUNC(G2327*(1-$K$7),2))</f>
        <v>2462.61</v>
      </c>
      <c r="I2327" s="1803">
        <f t="shared" si="329"/>
        <v>94.81</v>
      </c>
      <c r="J2327" s="1795"/>
    </row>
    <row r="2328" spans="1:10">
      <c r="A2328" s="1943" t="s">
        <v>2477</v>
      </c>
      <c r="B2328" s="1944"/>
      <c r="C2328" s="1944"/>
      <c r="D2328" s="1944"/>
      <c r="E2328" s="1944"/>
      <c r="F2328" s="1944"/>
      <c r="G2328" s="1944"/>
      <c r="H2328" s="1945"/>
      <c r="I2328" s="1805">
        <f>SUM(I2325:I2327)</f>
        <v>98.850000000000009</v>
      </c>
      <c r="J2328" s="1795"/>
    </row>
    <row r="2329" spans="1:10">
      <c r="A2329" s="1929"/>
      <c r="B2329" s="1930"/>
      <c r="C2329" s="1930"/>
      <c r="D2329" s="1930"/>
      <c r="E2329" s="1930"/>
      <c r="F2329" s="1930"/>
      <c r="G2329" s="1930"/>
      <c r="H2329" s="1930"/>
      <c r="I2329" s="1931"/>
      <c r="J2329" s="1795"/>
    </row>
    <row r="2330" spans="1:10" ht="23.25" customHeight="1">
      <c r="A2330" s="1784">
        <f>'PLANILHA SEM DESON'!B352</f>
        <v>97084</v>
      </c>
      <c r="B2330" s="1940" t="str">
        <f>VLOOKUP(A2330,'PLANILHA SEM DESON'!$B$17:$D$1700,2,FALSE)</f>
        <v>COMPACTAÇÃO MECÂNICA DE SOLO PARA EXECUÇÃO DE RADIER, COM COMPACTADOR DE SOLOS TIPO PLACA VIBRATÓRIA. AF_09/2017</v>
      </c>
      <c r="C2330" s="1941"/>
      <c r="D2330" s="1941"/>
      <c r="E2330" s="1941"/>
      <c r="F2330" s="1941"/>
      <c r="G2330" s="1941"/>
      <c r="H2330" s="1942"/>
      <c r="I2330" s="1785" t="str">
        <f>VLOOKUP(A2330,'PLANILHA SEM DESON'!$B$17:$D$1700,3,FALSE)</f>
        <v>m²</v>
      </c>
      <c r="J2330" s="1786">
        <f>I2335</f>
        <v>0.62</v>
      </c>
    </row>
    <row r="2331" spans="1:10" ht="24">
      <c r="A2331" s="1788" t="s">
        <v>2470</v>
      </c>
      <c r="B2331" s="1789" t="s">
        <v>2471</v>
      </c>
      <c r="C2331" s="1790" t="s">
        <v>2468</v>
      </c>
      <c r="D2331" s="1791" t="s">
        <v>308</v>
      </c>
      <c r="E2331" s="1790" t="s">
        <v>202</v>
      </c>
      <c r="F2331" s="1792" t="s">
        <v>2472</v>
      </c>
      <c r="G2331" s="1790" t="s">
        <v>2473</v>
      </c>
      <c r="H2331" s="1793" t="s">
        <v>2474</v>
      </c>
      <c r="I2331" s="1794" t="s">
        <v>2475</v>
      </c>
      <c r="J2331" s="1795"/>
    </row>
    <row r="2332" spans="1:10">
      <c r="A2332" s="1797" t="s">
        <v>2476</v>
      </c>
      <c r="B2332" s="1798" t="s">
        <v>7</v>
      </c>
      <c r="C2332" s="1798">
        <v>88309</v>
      </c>
      <c r="D2332" s="1799" t="s">
        <v>103</v>
      </c>
      <c r="E2332" s="1800" t="s">
        <v>411</v>
      </c>
      <c r="F2332" s="1807">
        <v>8.9999999999999993E-3</v>
      </c>
      <c r="G2332" s="1801">
        <v>24.59</v>
      </c>
      <c r="H2332" s="1802">
        <f>IF(E2332="H",G2332,TRUNC(G2332*(1-$K$7),2))</f>
        <v>24.59</v>
      </c>
      <c r="I2332" s="1803">
        <f t="shared" ref="I2332:I2334" si="330">TRUNC(H2332*F2332,2)</f>
        <v>0.22</v>
      </c>
      <c r="J2332" s="1795"/>
    </row>
    <row r="2333" spans="1:10">
      <c r="A2333" s="1797" t="s">
        <v>2476</v>
      </c>
      <c r="B2333" s="1798" t="s">
        <v>7</v>
      </c>
      <c r="C2333" s="1798">
        <v>88316</v>
      </c>
      <c r="D2333" s="1799" t="s">
        <v>66</v>
      </c>
      <c r="E2333" s="1800" t="s">
        <v>411</v>
      </c>
      <c r="F2333" s="1807">
        <v>1.9E-2</v>
      </c>
      <c r="G2333" s="1801">
        <v>19.45</v>
      </c>
      <c r="H2333" s="1802">
        <f>IF(E2333="H",G2333,TRUNC(G2333*(1-$K$7),2))</f>
        <v>19.45</v>
      </c>
      <c r="I2333" s="1803">
        <f t="shared" si="330"/>
        <v>0.36</v>
      </c>
      <c r="J2333" s="1795"/>
    </row>
    <row r="2334" spans="1:10" ht="36">
      <c r="A2334" s="1797" t="s">
        <v>2476</v>
      </c>
      <c r="B2334" s="1798" t="s">
        <v>7</v>
      </c>
      <c r="C2334" s="1798">
        <v>91277</v>
      </c>
      <c r="D2334" s="1799" t="s">
        <v>2801</v>
      </c>
      <c r="E2334" s="1800" t="s">
        <v>456</v>
      </c>
      <c r="F2334" s="1807">
        <v>5.0000000000000001E-3</v>
      </c>
      <c r="G2334" s="1801">
        <v>8.18</v>
      </c>
      <c r="H2334" s="1802">
        <f>IF(E2334="H",G2334,TRUNC(G2334*(1-$K$7),2))</f>
        <v>8.1300000000000008</v>
      </c>
      <c r="I2334" s="1803">
        <f t="shared" si="330"/>
        <v>0.04</v>
      </c>
      <c r="J2334" s="1795"/>
    </row>
    <row r="2335" spans="1:10">
      <c r="A2335" s="1943" t="s">
        <v>2477</v>
      </c>
      <c r="B2335" s="1944"/>
      <c r="C2335" s="1944"/>
      <c r="D2335" s="1944"/>
      <c r="E2335" s="1944"/>
      <c r="F2335" s="1944"/>
      <c r="G2335" s="1944"/>
      <c r="H2335" s="1945"/>
      <c r="I2335" s="1805">
        <f>SUM(I2332:I2334)</f>
        <v>0.62</v>
      </c>
      <c r="J2335" s="1795"/>
    </row>
    <row r="2336" spans="1:10">
      <c r="A2336" s="1929"/>
      <c r="B2336" s="1930"/>
      <c r="C2336" s="1930"/>
      <c r="D2336" s="1930"/>
      <c r="E2336" s="1930"/>
      <c r="F2336" s="1930"/>
      <c r="G2336" s="1930"/>
      <c r="H2336" s="1930"/>
      <c r="I2336" s="1931"/>
      <c r="J2336" s="1795"/>
    </row>
    <row r="2337" spans="1:10" ht="25.5" customHeight="1">
      <c r="A2337" s="1784">
        <f>'PLANILHA SEM DESON'!B353</f>
        <v>97087</v>
      </c>
      <c r="B2337" s="1940" t="str">
        <f>VLOOKUP(A2337,'PLANILHA SEM DESON'!$B$17:$D$1700,2,FALSE)</f>
        <v>CAMADA SEPARADORA PARA EXECUÇÃO DE RADIER, PISO DE CONCRETO OU LAJE SOBRE SOLO, EM LONA PLÁSTICA. AF_09/2021</v>
      </c>
      <c r="C2337" s="1941"/>
      <c r="D2337" s="1941"/>
      <c r="E2337" s="1941"/>
      <c r="F2337" s="1941"/>
      <c r="G2337" s="1941"/>
      <c r="H2337" s="1942"/>
      <c r="I2337" s="1785" t="str">
        <f>VLOOKUP(A2337,'PLANILHA SEM DESON'!$B$17:$D$1700,3,FALSE)</f>
        <v>m²</v>
      </c>
      <c r="J2337" s="1786">
        <f>I2342</f>
        <v>2.15</v>
      </c>
    </row>
    <row r="2338" spans="1:10" ht="24">
      <c r="A2338" s="1788" t="s">
        <v>2470</v>
      </c>
      <c r="B2338" s="1789" t="s">
        <v>2471</v>
      </c>
      <c r="C2338" s="1790" t="s">
        <v>2468</v>
      </c>
      <c r="D2338" s="1791" t="s">
        <v>308</v>
      </c>
      <c r="E2338" s="1790" t="s">
        <v>202</v>
      </c>
      <c r="F2338" s="1792" t="s">
        <v>2472</v>
      </c>
      <c r="G2338" s="1790" t="s">
        <v>2473</v>
      </c>
      <c r="H2338" s="1793" t="s">
        <v>2474</v>
      </c>
      <c r="I2338" s="1794" t="s">
        <v>2475</v>
      </c>
      <c r="J2338" s="1795"/>
    </row>
    <row r="2339" spans="1:10">
      <c r="A2339" s="1797" t="s">
        <v>2476</v>
      </c>
      <c r="B2339" s="1798" t="s">
        <v>2479</v>
      </c>
      <c r="C2339" s="1798">
        <v>42408</v>
      </c>
      <c r="D2339" s="1799" t="s">
        <v>2806</v>
      </c>
      <c r="E2339" s="1800" t="s">
        <v>2807</v>
      </c>
      <c r="F2339" s="1807">
        <v>1.04</v>
      </c>
      <c r="G2339" s="1801">
        <v>1.67</v>
      </c>
      <c r="H2339" s="1802">
        <f>IF(E2339="H",G2339,TRUNC(G2339*(1-$K$7),2))</f>
        <v>1.66</v>
      </c>
      <c r="I2339" s="1803">
        <f t="shared" ref="I2339:I2341" si="331">TRUNC(H2339*F2339,2)</f>
        <v>1.72</v>
      </c>
      <c r="J2339" s="1795"/>
    </row>
    <row r="2340" spans="1:10">
      <c r="A2340" s="1797" t="s">
        <v>2476</v>
      </c>
      <c r="B2340" s="1798" t="s">
        <v>7</v>
      </c>
      <c r="C2340" s="1798">
        <v>88309</v>
      </c>
      <c r="D2340" s="1799" t="s">
        <v>103</v>
      </c>
      <c r="E2340" s="1800" t="s">
        <v>411</v>
      </c>
      <c r="F2340" s="1807">
        <v>1.4E-2</v>
      </c>
      <c r="G2340" s="1801">
        <v>24.59</v>
      </c>
      <c r="H2340" s="1802">
        <f>IF(E2340="H",G2340,TRUNC(G2340*(1-$K$7),2))</f>
        <v>24.59</v>
      </c>
      <c r="I2340" s="1803">
        <f t="shared" si="331"/>
        <v>0.34</v>
      </c>
      <c r="J2340" s="1795"/>
    </row>
    <row r="2341" spans="1:10">
      <c r="A2341" s="1797" t="s">
        <v>2476</v>
      </c>
      <c r="B2341" s="1798" t="s">
        <v>7</v>
      </c>
      <c r="C2341" s="1798">
        <v>88316</v>
      </c>
      <c r="D2341" s="1799" t="s">
        <v>66</v>
      </c>
      <c r="E2341" s="1800" t="s">
        <v>411</v>
      </c>
      <c r="F2341" s="1807">
        <v>5.0000000000000001E-3</v>
      </c>
      <c r="G2341" s="1801">
        <v>19.45</v>
      </c>
      <c r="H2341" s="1802">
        <f>IF(E2341="H",G2341,TRUNC(G2341*(1-$K$7),2))</f>
        <v>19.45</v>
      </c>
      <c r="I2341" s="1803">
        <f t="shared" si="331"/>
        <v>0.09</v>
      </c>
      <c r="J2341" s="1795"/>
    </row>
    <row r="2342" spans="1:10">
      <c r="A2342" s="1943" t="s">
        <v>2477</v>
      </c>
      <c r="B2342" s="1944"/>
      <c r="C2342" s="1944"/>
      <c r="D2342" s="1944"/>
      <c r="E2342" s="1944"/>
      <c r="F2342" s="1944"/>
      <c r="G2342" s="1944"/>
      <c r="H2342" s="1945"/>
      <c r="I2342" s="1805">
        <f>SUM(I2339:I2341)</f>
        <v>2.15</v>
      </c>
      <c r="J2342" s="1795"/>
    </row>
    <row r="2343" spans="1:10">
      <c r="A2343" s="1929"/>
      <c r="B2343" s="1930"/>
      <c r="C2343" s="1930"/>
      <c r="D2343" s="1930"/>
      <c r="E2343" s="1930"/>
      <c r="F2343" s="1930"/>
      <c r="G2343" s="1930"/>
      <c r="H2343" s="1930"/>
      <c r="I2343" s="1931"/>
      <c r="J2343" s="1795"/>
    </row>
    <row r="2344" spans="1:10" ht="35.25" customHeight="1">
      <c r="A2344" s="1784">
        <f>'PLANILHA SEM DESON'!B354</f>
        <v>97102</v>
      </c>
      <c r="B2344" s="1940" t="str">
        <f>VLOOKUP(A2344,'PLANILHA SEM DESON'!$B$17:$D$1700,2,FALSE)</f>
        <v>EXECUÇÃO DE RADIER, ESPESSURA DE 15 CM, FCK = 30 MPA, COM USO DE FORMAS EM MADEIRA SERRADA. AF_09/2021</v>
      </c>
      <c r="C2344" s="1941"/>
      <c r="D2344" s="1941"/>
      <c r="E2344" s="1941"/>
      <c r="F2344" s="1941"/>
      <c r="G2344" s="1941"/>
      <c r="H2344" s="1942"/>
      <c r="I2344" s="1785" t="str">
        <f>VLOOKUP(A2344,'PLANILHA SEM DESON'!$B$17:$D$1700,3,FALSE)</f>
        <v>m³</v>
      </c>
      <c r="J2344" s="1786">
        <f>I2353</f>
        <v>265.69</v>
      </c>
    </row>
    <row r="2345" spans="1:10" ht="24">
      <c r="A2345" s="1788" t="s">
        <v>2470</v>
      </c>
      <c r="B2345" s="1789" t="s">
        <v>2471</v>
      </c>
      <c r="C2345" s="1790" t="s">
        <v>2468</v>
      </c>
      <c r="D2345" s="1791" t="s">
        <v>308</v>
      </c>
      <c r="E2345" s="1790" t="s">
        <v>202</v>
      </c>
      <c r="F2345" s="1792" t="s">
        <v>2472</v>
      </c>
      <c r="G2345" s="1790" t="s">
        <v>2473</v>
      </c>
      <c r="H2345" s="1793" t="s">
        <v>2474</v>
      </c>
      <c r="I2345" s="1794" t="s">
        <v>2475</v>
      </c>
      <c r="J2345" s="1795"/>
    </row>
    <row r="2346" spans="1:10" ht="36">
      <c r="A2346" s="1797" t="s">
        <v>2476</v>
      </c>
      <c r="B2346" s="1798" t="s">
        <v>7</v>
      </c>
      <c r="C2346" s="1798">
        <v>96624</v>
      </c>
      <c r="D2346" s="1799" t="s">
        <v>2808</v>
      </c>
      <c r="E2346" s="1800" t="s">
        <v>1171</v>
      </c>
      <c r="F2346" s="1807">
        <v>0.1</v>
      </c>
      <c r="G2346" s="1801">
        <v>154.5</v>
      </c>
      <c r="H2346" s="1802">
        <f t="shared" ref="H2346:H2352" si="332">IF(E2346="H",G2346,TRUNC(G2346*(1-$K$7),2))</f>
        <v>153.71</v>
      </c>
      <c r="I2346" s="1803">
        <f t="shared" ref="I2346:I2352" si="333">TRUNC(H2346*F2346,2)</f>
        <v>15.37</v>
      </c>
      <c r="J2346" s="1795"/>
    </row>
    <row r="2347" spans="1:10" ht="24">
      <c r="A2347" s="1797" t="s">
        <v>2476</v>
      </c>
      <c r="B2347" s="1798" t="s">
        <v>7</v>
      </c>
      <c r="C2347" s="1798">
        <v>97082</v>
      </c>
      <c r="D2347" s="1799" t="s">
        <v>2809</v>
      </c>
      <c r="E2347" s="1800" t="s">
        <v>1171</v>
      </c>
      <c r="F2347" s="1807">
        <v>3.5000000000000003E-2</v>
      </c>
      <c r="G2347" s="1801">
        <v>56.48</v>
      </c>
      <c r="H2347" s="1802">
        <f t="shared" si="332"/>
        <v>56.19</v>
      </c>
      <c r="I2347" s="1803">
        <f t="shared" si="333"/>
        <v>1.96</v>
      </c>
      <c r="J2347" s="1795"/>
    </row>
    <row r="2348" spans="1:10" ht="36">
      <c r="A2348" s="1797" t="s">
        <v>2476</v>
      </c>
      <c r="B2348" s="1798" t="s">
        <v>7</v>
      </c>
      <c r="C2348" s="1798">
        <v>97083</v>
      </c>
      <c r="D2348" s="1799" t="s">
        <v>2810</v>
      </c>
      <c r="E2348" s="1800" t="s">
        <v>1176</v>
      </c>
      <c r="F2348" s="1807">
        <v>1</v>
      </c>
      <c r="G2348" s="1801">
        <v>3.01</v>
      </c>
      <c r="H2348" s="1802">
        <f t="shared" si="332"/>
        <v>2.99</v>
      </c>
      <c r="I2348" s="1803">
        <f t="shared" si="333"/>
        <v>2.99</v>
      </c>
      <c r="J2348" s="1795"/>
    </row>
    <row r="2349" spans="1:10" ht="36">
      <c r="A2349" s="1797" t="s">
        <v>2476</v>
      </c>
      <c r="B2349" s="1798" t="s">
        <v>7</v>
      </c>
      <c r="C2349" s="1798">
        <v>97086</v>
      </c>
      <c r="D2349" s="1799" t="s">
        <v>2811</v>
      </c>
      <c r="E2349" s="1800" t="s">
        <v>1176</v>
      </c>
      <c r="F2349" s="1807">
        <v>0.1</v>
      </c>
      <c r="G2349" s="1801">
        <v>120.54</v>
      </c>
      <c r="H2349" s="1802">
        <f t="shared" si="332"/>
        <v>119.92</v>
      </c>
      <c r="I2349" s="1803">
        <f t="shared" si="333"/>
        <v>11.99</v>
      </c>
      <c r="J2349" s="1795"/>
    </row>
    <row r="2350" spans="1:10" ht="36">
      <c r="A2350" s="1797" t="s">
        <v>2476</v>
      </c>
      <c r="B2350" s="1798" t="s">
        <v>7</v>
      </c>
      <c r="C2350" s="1798">
        <v>97087</v>
      </c>
      <c r="D2350" s="1799" t="s">
        <v>2379</v>
      </c>
      <c r="E2350" s="1800" t="s">
        <v>1176</v>
      </c>
      <c r="F2350" s="1807">
        <v>1.24</v>
      </c>
      <c r="G2350" s="1801">
        <v>2.16</v>
      </c>
      <c r="H2350" s="1802">
        <f t="shared" si="332"/>
        <v>2.14</v>
      </c>
      <c r="I2350" s="1803">
        <f t="shared" si="333"/>
        <v>2.65</v>
      </c>
      <c r="J2350" s="1795"/>
    </row>
    <row r="2351" spans="1:10" ht="36">
      <c r="A2351" s="1797" t="s">
        <v>2476</v>
      </c>
      <c r="B2351" s="1798" t="s">
        <v>7</v>
      </c>
      <c r="C2351" s="1798">
        <v>97090</v>
      </c>
      <c r="D2351" s="1799" t="s">
        <v>2812</v>
      </c>
      <c r="E2351" s="1800" t="s">
        <v>1184</v>
      </c>
      <c r="F2351" s="1807">
        <v>4.4000000000000004</v>
      </c>
      <c r="G2351" s="1801">
        <v>21.5</v>
      </c>
      <c r="H2351" s="1802">
        <f t="shared" si="332"/>
        <v>21.39</v>
      </c>
      <c r="I2351" s="1803">
        <f t="shared" si="333"/>
        <v>94.11</v>
      </c>
      <c r="J2351" s="1795"/>
    </row>
    <row r="2352" spans="1:10" ht="36">
      <c r="A2352" s="1797" t="s">
        <v>2476</v>
      </c>
      <c r="B2352" s="1798" t="s">
        <v>7</v>
      </c>
      <c r="C2352" s="1798">
        <v>97096</v>
      </c>
      <c r="D2352" s="1799" t="s">
        <v>2813</v>
      </c>
      <c r="E2352" s="1800" t="s">
        <v>1171</v>
      </c>
      <c r="F2352" s="1807">
        <v>0.185</v>
      </c>
      <c r="G2352" s="1801">
        <v>742.31</v>
      </c>
      <c r="H2352" s="1802">
        <f t="shared" si="332"/>
        <v>738.52</v>
      </c>
      <c r="I2352" s="1803">
        <f t="shared" si="333"/>
        <v>136.62</v>
      </c>
      <c r="J2352" s="1795"/>
    </row>
    <row r="2353" spans="1:10">
      <c r="A2353" s="1943" t="s">
        <v>2477</v>
      </c>
      <c r="B2353" s="1944"/>
      <c r="C2353" s="1944"/>
      <c r="D2353" s="1944"/>
      <c r="E2353" s="1944"/>
      <c r="F2353" s="1944"/>
      <c r="G2353" s="1944"/>
      <c r="H2353" s="1945"/>
      <c r="I2353" s="1805">
        <f>SUM(I2346:I2352)</f>
        <v>265.69</v>
      </c>
      <c r="J2353" s="1795"/>
    </row>
    <row r="2354" spans="1:10">
      <c r="A2354" s="1929"/>
      <c r="B2354" s="1930"/>
      <c r="C2354" s="1930"/>
      <c r="D2354" s="1930"/>
      <c r="E2354" s="1930"/>
      <c r="F2354" s="1930"/>
      <c r="G2354" s="1930"/>
      <c r="H2354" s="1930"/>
      <c r="I2354" s="1931"/>
      <c r="J2354" s="1795"/>
    </row>
    <row r="2355" spans="1:10" ht="27.75" customHeight="1">
      <c r="A2355" s="1784">
        <f>'PLANILHA SEM DESON'!B358</f>
        <v>91815</v>
      </c>
      <c r="B2355" s="1940" t="str">
        <f>VLOOKUP(A2355,'PLANILHA SEM DESON'!$B$17:$D$1700,2,FALSE)</f>
        <v>(COMPOSIÇÃO REPRESENTATIVA) DE ALVENARIA DE BLOCOS DE CONCRETO ESTRUTURAL 14X19X39 CM, (ESPESSURA 14 CM), FBK = 4,5 MPA, UTILIZANDO PALHETA, PARA EDIFICAÇÃO HABITACIONAL. AF_10/2015</v>
      </c>
      <c r="C2355" s="1941"/>
      <c r="D2355" s="1941"/>
      <c r="E2355" s="1941"/>
      <c r="F2355" s="1941"/>
      <c r="G2355" s="1941"/>
      <c r="H2355" s="1942"/>
      <c r="I2355" s="1785" t="str">
        <f>VLOOKUP(A2355,'PLANILHA SEM DESON'!$B$17:$D$1700,3,FALSE)</f>
        <v>m²</v>
      </c>
      <c r="J2355" s="1786">
        <f>I2358</f>
        <v>83.72</v>
      </c>
    </row>
    <row r="2356" spans="1:10" ht="24">
      <c r="A2356" s="1788" t="s">
        <v>2470</v>
      </c>
      <c r="B2356" s="1789" t="s">
        <v>2471</v>
      </c>
      <c r="C2356" s="1790" t="s">
        <v>2468</v>
      </c>
      <c r="D2356" s="1791" t="s">
        <v>308</v>
      </c>
      <c r="E2356" s="1790" t="s">
        <v>202</v>
      </c>
      <c r="F2356" s="1792" t="s">
        <v>2472</v>
      </c>
      <c r="G2356" s="1790" t="s">
        <v>2473</v>
      </c>
      <c r="H2356" s="1793" t="s">
        <v>2474</v>
      </c>
      <c r="I2356" s="1794" t="s">
        <v>2475</v>
      </c>
      <c r="J2356" s="1795"/>
    </row>
    <row r="2357" spans="1:10" ht="48">
      <c r="A2357" s="1797" t="s">
        <v>2476</v>
      </c>
      <c r="B2357" s="1798" t="s">
        <v>7</v>
      </c>
      <c r="C2357" s="1798">
        <v>89453</v>
      </c>
      <c r="D2357" s="1799" t="s">
        <v>2814</v>
      </c>
      <c r="E2357" s="1800" t="s">
        <v>1176</v>
      </c>
      <c r="F2357" s="1807">
        <v>1</v>
      </c>
      <c r="G2357" s="1801">
        <v>84.15</v>
      </c>
      <c r="H2357" s="1802">
        <f>IF(E2357="H",G2357,TRUNC(G2357*(1-$K$7),2))</f>
        <v>83.72</v>
      </c>
      <c r="I2357" s="1803">
        <f t="shared" ref="I2357" si="334">TRUNC(H2357*F2357,2)</f>
        <v>83.72</v>
      </c>
      <c r="J2357" s="1795"/>
    </row>
    <row r="2358" spans="1:10">
      <c r="A2358" s="1943" t="s">
        <v>2477</v>
      </c>
      <c r="B2358" s="1944"/>
      <c r="C2358" s="1944"/>
      <c r="D2358" s="1944"/>
      <c r="E2358" s="1944"/>
      <c r="F2358" s="1944"/>
      <c r="G2358" s="1944"/>
      <c r="H2358" s="1945"/>
      <c r="I2358" s="1805">
        <f>SUM(I2357:I2357)</f>
        <v>83.72</v>
      </c>
      <c r="J2358" s="1795"/>
    </row>
    <row r="2359" spans="1:10">
      <c r="A2359" s="1929"/>
      <c r="B2359" s="1930"/>
      <c r="C2359" s="1930"/>
      <c r="D2359" s="1930"/>
      <c r="E2359" s="1930"/>
      <c r="F2359" s="1930"/>
      <c r="G2359" s="1930"/>
      <c r="H2359" s="1930"/>
      <c r="I2359" s="1931"/>
      <c r="J2359" s="1795"/>
    </row>
    <row r="2360" spans="1:10" ht="28.5" customHeight="1">
      <c r="A2360" s="1784" t="str">
        <f>'PLANILHA SEM DESON'!B361</f>
        <v>COMP ETE 01</v>
      </c>
      <c r="B2360" s="1940" t="str">
        <f>VLOOKUP(A2360,'PLANILHA SEM DESON'!$B$17:$D$1700,2,FALSE)</f>
        <v>VERGA 10X10 CM EM CONCRETO PRÉ- MOLDADO FCK=20MPA</v>
      </c>
      <c r="C2360" s="1941"/>
      <c r="D2360" s="1941"/>
      <c r="E2360" s="1941"/>
      <c r="F2360" s="1941"/>
      <c r="G2360" s="1941"/>
      <c r="H2360" s="1942"/>
      <c r="I2360" s="1785" t="str">
        <f>VLOOKUP(A2360,'PLANILHA SEM DESON'!$B$17:$D$1700,3,FALSE)</f>
        <v>m</v>
      </c>
      <c r="J2360" s="1786">
        <f>I2370</f>
        <v>31.880000000000003</v>
      </c>
    </row>
    <row r="2361" spans="1:10" ht="24">
      <c r="A2361" s="1788" t="s">
        <v>2470</v>
      </c>
      <c r="B2361" s="1789" t="s">
        <v>2471</v>
      </c>
      <c r="C2361" s="1790" t="s">
        <v>2468</v>
      </c>
      <c r="D2361" s="1791" t="s">
        <v>308</v>
      </c>
      <c r="E2361" s="1790" t="s">
        <v>202</v>
      </c>
      <c r="F2361" s="1792" t="s">
        <v>2472</v>
      </c>
      <c r="G2361" s="1790" t="s">
        <v>2473</v>
      </c>
      <c r="H2361" s="1793" t="s">
        <v>2474</v>
      </c>
      <c r="I2361" s="1794" t="s">
        <v>2475</v>
      </c>
      <c r="J2361" s="1795"/>
    </row>
    <row r="2362" spans="1:10" ht="24">
      <c r="A2362" s="1797"/>
      <c r="B2362" s="1798"/>
      <c r="C2362" s="1798">
        <v>88239</v>
      </c>
      <c r="D2362" s="1799" t="s">
        <v>454</v>
      </c>
      <c r="E2362" s="1800" t="s">
        <v>57</v>
      </c>
      <c r="F2362" s="1817">
        <v>0.123</v>
      </c>
      <c r="G2362" s="1808">
        <v>18.79</v>
      </c>
      <c r="H2362" s="1802">
        <f t="shared" ref="H2362:H2369" si="335">IF(E2362="H",G2362,TRUNC(G2362*(1-$K$7),2))</f>
        <v>18.79</v>
      </c>
      <c r="I2362" s="1803">
        <f t="shared" ref="I2362:I2369" si="336">TRUNC(H2362*F2362,2)</f>
        <v>2.31</v>
      </c>
      <c r="J2362" s="1795"/>
    </row>
    <row r="2363" spans="1:10" ht="24">
      <c r="A2363" s="1797"/>
      <c r="B2363" s="1798"/>
      <c r="C2363" s="1798">
        <v>88262</v>
      </c>
      <c r="D2363" s="1799" t="s">
        <v>441</v>
      </c>
      <c r="E2363" s="1800" t="s">
        <v>57</v>
      </c>
      <c r="F2363" s="1817">
        <v>7.4999999999999997E-2</v>
      </c>
      <c r="G2363" s="1808">
        <v>22.16</v>
      </c>
      <c r="H2363" s="1802">
        <f t="shared" si="335"/>
        <v>22.16</v>
      </c>
      <c r="I2363" s="1803">
        <f t="shared" si="336"/>
        <v>1.66</v>
      </c>
      <c r="J2363" s="1795"/>
    </row>
    <row r="2364" spans="1:10">
      <c r="A2364" s="1797"/>
      <c r="B2364" s="1798"/>
      <c r="C2364" s="1798">
        <v>88309</v>
      </c>
      <c r="D2364" s="1799" t="s">
        <v>103</v>
      </c>
      <c r="E2364" s="1800" t="s">
        <v>57</v>
      </c>
      <c r="F2364" s="1817">
        <v>0.02</v>
      </c>
      <c r="G2364" s="1808">
        <v>22.41</v>
      </c>
      <c r="H2364" s="1802">
        <f t="shared" si="335"/>
        <v>22.41</v>
      </c>
      <c r="I2364" s="1803">
        <f t="shared" si="336"/>
        <v>0.44</v>
      </c>
      <c r="J2364" s="1795"/>
    </row>
    <row r="2365" spans="1:10">
      <c r="A2365" s="1797"/>
      <c r="B2365" s="1798"/>
      <c r="C2365" s="1798">
        <v>88316</v>
      </c>
      <c r="D2365" s="1799" t="s">
        <v>66</v>
      </c>
      <c r="E2365" s="1800" t="s">
        <v>57</v>
      </c>
      <c r="F2365" s="1817">
        <v>0.06</v>
      </c>
      <c r="G2365" s="1808">
        <v>17.82</v>
      </c>
      <c r="H2365" s="1802">
        <f t="shared" si="335"/>
        <v>17.82</v>
      </c>
      <c r="I2365" s="1803">
        <f t="shared" si="336"/>
        <v>1.06</v>
      </c>
      <c r="J2365" s="1795"/>
    </row>
    <row r="2366" spans="1:10" ht="48">
      <c r="A2366" s="1797"/>
      <c r="B2366" s="1798"/>
      <c r="C2366" s="1798">
        <v>102475</v>
      </c>
      <c r="D2366" s="1799" t="s">
        <v>2125</v>
      </c>
      <c r="E2366" s="1800" t="s">
        <v>47</v>
      </c>
      <c r="F2366" s="1818">
        <v>0.01</v>
      </c>
      <c r="G2366" s="1806">
        <v>658.56</v>
      </c>
      <c r="H2366" s="1802">
        <f t="shared" si="335"/>
        <v>655.20000000000005</v>
      </c>
      <c r="I2366" s="1803">
        <f t="shared" si="336"/>
        <v>6.55</v>
      </c>
      <c r="J2366" s="1795"/>
    </row>
    <row r="2367" spans="1:10" ht="60">
      <c r="A2367" s="1797"/>
      <c r="B2367" s="1798"/>
      <c r="C2367" s="1798">
        <v>92915</v>
      </c>
      <c r="D2367" s="1799" t="s">
        <v>2122</v>
      </c>
      <c r="E2367" s="1800" t="s">
        <v>100</v>
      </c>
      <c r="F2367" s="1818">
        <v>0.72</v>
      </c>
      <c r="G2367" s="1806">
        <v>19.28</v>
      </c>
      <c r="H2367" s="1802">
        <f t="shared" si="335"/>
        <v>19.18</v>
      </c>
      <c r="I2367" s="1803">
        <f t="shared" ref="I2367" si="337">TRUNC(H2367*F2367,2)</f>
        <v>13.8</v>
      </c>
      <c r="J2367" s="1795"/>
    </row>
    <row r="2368" spans="1:10" ht="24">
      <c r="A2368" s="1797"/>
      <c r="B2368" s="1798"/>
      <c r="C2368" s="1798">
        <v>5069</v>
      </c>
      <c r="D2368" s="1799" t="s">
        <v>2123</v>
      </c>
      <c r="E2368" s="1800" t="s">
        <v>100</v>
      </c>
      <c r="F2368" s="1818">
        <v>0.01</v>
      </c>
      <c r="G2368" s="1806">
        <v>26.39</v>
      </c>
      <c r="H2368" s="1802">
        <f t="shared" si="335"/>
        <v>26.25</v>
      </c>
      <c r="I2368" s="1803">
        <f t="shared" si="336"/>
        <v>0.26</v>
      </c>
      <c r="J2368" s="1795"/>
    </row>
    <row r="2369" spans="1:10" ht="24">
      <c r="A2369" s="1797"/>
      <c r="B2369" s="1798"/>
      <c r="C2369" s="1798">
        <v>6189</v>
      </c>
      <c r="D2369" s="1799" t="s">
        <v>2124</v>
      </c>
      <c r="E2369" s="1800" t="s">
        <v>54</v>
      </c>
      <c r="F2369" s="1818">
        <v>0.22189999999999999</v>
      </c>
      <c r="G2369" s="1806">
        <v>26.29</v>
      </c>
      <c r="H2369" s="1802">
        <f t="shared" si="335"/>
        <v>26.15</v>
      </c>
      <c r="I2369" s="1803">
        <f t="shared" si="336"/>
        <v>5.8</v>
      </c>
      <c r="J2369" s="1795"/>
    </row>
    <row r="2370" spans="1:10">
      <c r="A2370" s="1943" t="s">
        <v>2477</v>
      </c>
      <c r="B2370" s="1944"/>
      <c r="C2370" s="1944"/>
      <c r="D2370" s="1944"/>
      <c r="E2370" s="1944"/>
      <c r="F2370" s="1944"/>
      <c r="G2370" s="1944"/>
      <c r="H2370" s="1945"/>
      <c r="I2370" s="1805">
        <f>SUM(I2362:I2369)</f>
        <v>31.880000000000003</v>
      </c>
      <c r="J2370" s="1795"/>
    </row>
    <row r="2371" spans="1:10">
      <c r="A2371" s="1929"/>
      <c r="B2371" s="1930"/>
      <c r="C2371" s="1930"/>
      <c r="D2371" s="1930"/>
      <c r="E2371" s="1930"/>
      <c r="F2371" s="1930"/>
      <c r="G2371" s="1930"/>
      <c r="H2371" s="1930"/>
      <c r="I2371" s="1931"/>
      <c r="J2371" s="1795"/>
    </row>
    <row r="2372" spans="1:10">
      <c r="A2372" s="1784">
        <f>'PLANILHA SEM DESON'!B362</f>
        <v>102719</v>
      </c>
      <c r="B2372" s="1940" t="str">
        <f>VLOOKUP(A2372,'PLANILHA SEM DESON'!$B$17:$D$1700,2,FALSE)</f>
        <v>ENCHIMENTO DE BRITA PARA DRENO, LANÇAMENTO MANUAL. AF_07/2021</v>
      </c>
      <c r="C2372" s="1941"/>
      <c r="D2372" s="1941"/>
      <c r="E2372" s="1941"/>
      <c r="F2372" s="1941"/>
      <c r="G2372" s="1941"/>
      <c r="H2372" s="1942"/>
      <c r="I2372" s="1785" t="str">
        <f>VLOOKUP(A2372,'PLANILHA SEM DESON'!$B$17:$D$1700,3,FALSE)</f>
        <v>m³</v>
      </c>
      <c r="J2372" s="1786">
        <f>I2377</f>
        <v>149.15</v>
      </c>
    </row>
    <row r="2373" spans="1:10" ht="24">
      <c r="A2373" s="1788" t="s">
        <v>2470</v>
      </c>
      <c r="B2373" s="1789" t="s">
        <v>2471</v>
      </c>
      <c r="C2373" s="1790" t="s">
        <v>2468</v>
      </c>
      <c r="D2373" s="1791" t="s">
        <v>308</v>
      </c>
      <c r="E2373" s="1790" t="s">
        <v>202</v>
      </c>
      <c r="F2373" s="1792" t="s">
        <v>2472</v>
      </c>
      <c r="G2373" s="1790" t="s">
        <v>2473</v>
      </c>
      <c r="H2373" s="1793" t="s">
        <v>2474</v>
      </c>
      <c r="I2373" s="1794" t="s">
        <v>2475</v>
      </c>
      <c r="J2373" s="1795"/>
    </row>
    <row r="2374" spans="1:10" ht="24">
      <c r="A2374" s="1797" t="s">
        <v>2476</v>
      </c>
      <c r="B2374" s="1798" t="s">
        <v>2479</v>
      </c>
      <c r="C2374" s="1798">
        <v>4718</v>
      </c>
      <c r="D2374" s="1799" t="s">
        <v>2815</v>
      </c>
      <c r="E2374" s="1800" t="s">
        <v>1171</v>
      </c>
      <c r="F2374" s="1807">
        <v>1.1000000000000001</v>
      </c>
      <c r="G2374" s="1801">
        <v>108.18</v>
      </c>
      <c r="H2374" s="1802">
        <f>IF(E2374="H",G2374,TRUNC(G2374*(1-$K$7),2))</f>
        <v>107.62</v>
      </c>
      <c r="I2374" s="1803">
        <f t="shared" ref="I2374:I2376" si="338">TRUNC(H2374*F2374,2)</f>
        <v>118.38</v>
      </c>
      <c r="J2374" s="1795"/>
    </row>
    <row r="2375" spans="1:10">
      <c r="A2375" s="1797" t="s">
        <v>2476</v>
      </c>
      <c r="B2375" s="1798" t="s">
        <v>7</v>
      </c>
      <c r="C2375" s="1798">
        <v>88309</v>
      </c>
      <c r="D2375" s="1799" t="s">
        <v>103</v>
      </c>
      <c r="E2375" s="1800" t="s">
        <v>411</v>
      </c>
      <c r="F2375" s="1807">
        <v>0.37109999999999999</v>
      </c>
      <c r="G2375" s="1801">
        <v>24.59</v>
      </c>
      <c r="H2375" s="1802">
        <f>IF(E2375="H",G2375,TRUNC(G2375*(1-$K$7),2))</f>
        <v>24.59</v>
      </c>
      <c r="I2375" s="1803">
        <f t="shared" si="338"/>
        <v>9.1199999999999992</v>
      </c>
      <c r="J2375" s="1795"/>
    </row>
    <row r="2376" spans="1:10">
      <c r="A2376" s="1797" t="s">
        <v>2476</v>
      </c>
      <c r="B2376" s="1798" t="s">
        <v>7</v>
      </c>
      <c r="C2376" s="1798">
        <v>88316</v>
      </c>
      <c r="D2376" s="1799" t="s">
        <v>66</v>
      </c>
      <c r="E2376" s="1800" t="s">
        <v>411</v>
      </c>
      <c r="F2376" s="1807">
        <v>1.1133999999999999</v>
      </c>
      <c r="G2376" s="1801">
        <v>19.45</v>
      </c>
      <c r="H2376" s="1802">
        <f>IF(E2376="H",G2376,TRUNC(G2376*(1-$K$7),2))</f>
        <v>19.45</v>
      </c>
      <c r="I2376" s="1803">
        <f t="shared" si="338"/>
        <v>21.65</v>
      </c>
      <c r="J2376" s="1795"/>
    </row>
    <row r="2377" spans="1:10">
      <c r="A2377" s="1943" t="s">
        <v>2477</v>
      </c>
      <c r="B2377" s="1944"/>
      <c r="C2377" s="1944"/>
      <c r="D2377" s="1944"/>
      <c r="E2377" s="1944"/>
      <c r="F2377" s="1944"/>
      <c r="G2377" s="1944"/>
      <c r="H2377" s="1945"/>
      <c r="I2377" s="1805">
        <f>SUM(I2374:I2376)</f>
        <v>149.15</v>
      </c>
      <c r="J2377" s="1795"/>
    </row>
    <row r="2378" spans="1:10">
      <c r="A2378" s="1929"/>
      <c r="B2378" s="1930"/>
      <c r="C2378" s="1930"/>
      <c r="D2378" s="1930"/>
      <c r="E2378" s="1930"/>
      <c r="F2378" s="1930"/>
      <c r="G2378" s="1930"/>
      <c r="H2378" s="1930"/>
      <c r="I2378" s="1931"/>
      <c r="J2378" s="1795"/>
    </row>
    <row r="2379" spans="1:10">
      <c r="A2379" s="1784" t="str">
        <f>'PLANILHA SEM DESON'!B365</f>
        <v>COMP 28</v>
      </c>
      <c r="B2379" s="1940" t="str">
        <f>VLOOKUP(A2379,'PLANILHA SEM DESON'!$B$17:$D$1700,2,FALSE)</f>
        <v>BANCADA EM GRANITO CINZA POLIDO PARA LAVATÓRIOS E PIAS  - FORNECIMENTO E INSTALAÇÃO</v>
      </c>
      <c r="C2379" s="1941"/>
      <c r="D2379" s="1941"/>
      <c r="E2379" s="1941"/>
      <c r="F2379" s="1941"/>
      <c r="G2379" s="1941"/>
      <c r="H2379" s="1942"/>
      <c r="I2379" s="1785" t="str">
        <f>VLOOKUP(A2379,'PLANILHA SEM DESON'!$B$17:$D$1700,3,FALSE)</f>
        <v>m²</v>
      </c>
      <c r="J2379" s="1786">
        <f>I2386</f>
        <v>973.80000000000007</v>
      </c>
    </row>
    <row r="2380" spans="1:10" ht="24">
      <c r="A2380" s="1788" t="s">
        <v>2470</v>
      </c>
      <c r="B2380" s="1789" t="s">
        <v>2471</v>
      </c>
      <c r="C2380" s="1790" t="s">
        <v>2468</v>
      </c>
      <c r="D2380" s="1791" t="s">
        <v>308</v>
      </c>
      <c r="E2380" s="1790" t="s">
        <v>202</v>
      </c>
      <c r="F2380" s="1792" t="s">
        <v>2472</v>
      </c>
      <c r="G2380" s="1790" t="s">
        <v>2473</v>
      </c>
      <c r="H2380" s="1793" t="s">
        <v>2474</v>
      </c>
      <c r="I2380" s="1794" t="s">
        <v>2475</v>
      </c>
      <c r="J2380" s="1795"/>
    </row>
    <row r="2381" spans="1:10">
      <c r="A2381" s="1797"/>
      <c r="B2381" s="1798"/>
      <c r="C2381" s="1798">
        <v>88316</v>
      </c>
      <c r="D2381" s="1799" t="s">
        <v>66</v>
      </c>
      <c r="E2381" s="1800" t="s">
        <v>57</v>
      </c>
      <c r="F2381" s="1811">
        <v>3.3330000000000002</v>
      </c>
      <c r="G2381" s="1808">
        <v>19.45</v>
      </c>
      <c r="H2381" s="1802">
        <f>IF(E2381="H",G2381,TRUNC(G2381*(1-$K$7),2))</f>
        <v>19.45</v>
      </c>
      <c r="I2381" s="1803">
        <f t="shared" ref="I2381:I2385" si="339">TRUNC(H2381*F2381,2)</f>
        <v>64.819999999999993</v>
      </c>
      <c r="J2381" s="1795"/>
    </row>
    <row r="2382" spans="1:10">
      <c r="A2382" s="1797"/>
      <c r="B2382" s="1798"/>
      <c r="C2382" s="1798">
        <v>88309</v>
      </c>
      <c r="D2382" s="1799" t="s">
        <v>103</v>
      </c>
      <c r="E2382" s="1800" t="s">
        <v>57</v>
      </c>
      <c r="F2382" s="1811">
        <v>3.3330000000000002</v>
      </c>
      <c r="G2382" s="1807">
        <v>24.59</v>
      </c>
      <c r="H2382" s="1802">
        <f>IF(E2382="H",G2382,TRUNC(G2382*(1-$K$7),2))</f>
        <v>24.59</v>
      </c>
      <c r="I2382" s="1803">
        <f t="shared" si="339"/>
        <v>81.95</v>
      </c>
      <c r="J2382" s="1795"/>
    </row>
    <row r="2383" spans="1:10" ht="36">
      <c r="A2383" s="1797"/>
      <c r="B2383" s="1798"/>
      <c r="C2383" s="1798">
        <v>11795</v>
      </c>
      <c r="D2383" s="1799" t="s">
        <v>565</v>
      </c>
      <c r="E2383" s="1800" t="s">
        <v>46</v>
      </c>
      <c r="F2383" s="1811">
        <v>1</v>
      </c>
      <c r="G2383" s="1806">
        <v>830.18</v>
      </c>
      <c r="H2383" s="1802">
        <f>IF(E2383="H",G2383,TRUNC(G2383*(1-$K$7),2))</f>
        <v>825.94</v>
      </c>
      <c r="I2383" s="1803">
        <f t="shared" si="339"/>
        <v>825.94</v>
      </c>
      <c r="J2383" s="1795"/>
    </row>
    <row r="2384" spans="1:10" ht="24">
      <c r="A2384" s="1797"/>
      <c r="B2384" s="1798"/>
      <c r="C2384" s="1798">
        <v>370</v>
      </c>
      <c r="D2384" s="1799" t="s">
        <v>412</v>
      </c>
      <c r="E2384" s="1800" t="s">
        <v>47</v>
      </c>
      <c r="F2384" s="1811">
        <v>8.6999999999999994E-3</v>
      </c>
      <c r="G2384" s="1806">
        <v>125</v>
      </c>
      <c r="H2384" s="1802">
        <f>IF(E2384="H",G2384,TRUNC(G2384*(1-$K$7),2))</f>
        <v>124.36</v>
      </c>
      <c r="I2384" s="1803">
        <f t="shared" si="339"/>
        <v>1.08</v>
      </c>
      <c r="J2384" s="1795"/>
    </row>
    <row r="2385" spans="1:10">
      <c r="A2385" s="1797"/>
      <c r="B2385" s="1798"/>
      <c r="C2385" s="1798">
        <v>13284</v>
      </c>
      <c r="D2385" s="1799" t="s">
        <v>2025</v>
      </c>
      <c r="E2385" s="1800" t="s">
        <v>100</v>
      </c>
      <c r="F2385" s="1811">
        <v>1.54E-2</v>
      </c>
      <c r="G2385" s="1806">
        <v>0.95</v>
      </c>
      <c r="H2385" s="1802">
        <f>IF(E2385="H",G2385,TRUNC(G2385*(1-$K$7),2))</f>
        <v>0.94</v>
      </c>
      <c r="I2385" s="1803">
        <f t="shared" si="339"/>
        <v>0.01</v>
      </c>
      <c r="J2385" s="1795"/>
    </row>
    <row r="2386" spans="1:10">
      <c r="A2386" s="1943" t="s">
        <v>2477</v>
      </c>
      <c r="B2386" s="1944"/>
      <c r="C2386" s="1944"/>
      <c r="D2386" s="1944"/>
      <c r="E2386" s="1944"/>
      <c r="F2386" s="1944"/>
      <c r="G2386" s="1944"/>
      <c r="H2386" s="1945"/>
      <c r="I2386" s="1805">
        <f>SUM(I2381:I2385)</f>
        <v>973.80000000000007</v>
      </c>
      <c r="J2386" s="1795"/>
    </row>
    <row r="2387" spans="1:10">
      <c r="A2387" s="1929"/>
      <c r="B2387" s="1930"/>
      <c r="C2387" s="1930"/>
      <c r="D2387" s="1930"/>
      <c r="E2387" s="1930"/>
      <c r="F2387" s="1930"/>
      <c r="G2387" s="1930"/>
      <c r="H2387" s="1930"/>
      <c r="I2387" s="1931"/>
      <c r="J2387" s="1795"/>
    </row>
    <row r="2388" spans="1:10" ht="22.5" customHeight="1">
      <c r="A2388" s="1784">
        <f>'PLANILHA SEM DESON'!B366</f>
        <v>100862</v>
      </c>
      <c r="B2388" s="1940" t="str">
        <f>VLOOKUP(A2388,'PLANILHA SEM DESON'!$B$17:$D$1700,2,FALSE)</f>
        <v>SUPORTE MÃO FRANCESA EM ACO, ABAS IGUAIS 40 CM, CAPACIDADE MINIMA 70 KG, BRANCO - FORNECIMENTO E INSTALAÇÃO. AF_01/2020</v>
      </c>
      <c r="C2388" s="1941"/>
      <c r="D2388" s="1941"/>
      <c r="E2388" s="1941"/>
      <c r="F2388" s="1941"/>
      <c r="G2388" s="1941"/>
      <c r="H2388" s="1942"/>
      <c r="I2388" s="1785" t="str">
        <f>VLOOKUP(A2388,'PLANILHA SEM DESON'!$B$17:$D$1700,3,FALSE)</f>
        <v xml:space="preserve">un </v>
      </c>
      <c r="J2388" s="1786">
        <f>I2394</f>
        <v>42.589999999999996</v>
      </c>
    </row>
    <row r="2389" spans="1:10" ht="24">
      <c r="A2389" s="1788" t="s">
        <v>2470</v>
      </c>
      <c r="B2389" s="1789" t="s">
        <v>2471</v>
      </c>
      <c r="C2389" s="1790" t="s">
        <v>2468</v>
      </c>
      <c r="D2389" s="1791" t="s">
        <v>308</v>
      </c>
      <c r="E2389" s="1790" t="s">
        <v>202</v>
      </c>
      <c r="F2389" s="1792" t="s">
        <v>2472</v>
      </c>
      <c r="G2389" s="1790" t="s">
        <v>2473</v>
      </c>
      <c r="H2389" s="1793" t="s">
        <v>2474</v>
      </c>
      <c r="I2389" s="1794" t="s">
        <v>2475</v>
      </c>
      <c r="J2389" s="1795"/>
    </row>
    <row r="2390" spans="1:10" ht="36">
      <c r="A2390" s="1797" t="s">
        <v>2476</v>
      </c>
      <c r="B2390" s="1798" t="s">
        <v>2479</v>
      </c>
      <c r="C2390" s="1798">
        <v>7568</v>
      </c>
      <c r="D2390" s="1799" t="s">
        <v>2370</v>
      </c>
      <c r="E2390" s="1800" t="s">
        <v>2501</v>
      </c>
      <c r="F2390" s="1807">
        <v>3</v>
      </c>
      <c r="G2390" s="1801">
        <v>0.61</v>
      </c>
      <c r="H2390" s="1802">
        <f>IF(E2390="H",G2390,TRUNC(G2390*(1-$K$7),2))</f>
        <v>0.6</v>
      </c>
      <c r="I2390" s="1803">
        <f t="shared" ref="I2390:I2393" si="340">TRUNC(H2390*F2390,2)</f>
        <v>1.8</v>
      </c>
      <c r="J2390" s="1795"/>
    </row>
    <row r="2391" spans="1:10" ht="24">
      <c r="A2391" s="1797" t="s">
        <v>2476</v>
      </c>
      <c r="B2391" s="1798" t="s">
        <v>2479</v>
      </c>
      <c r="C2391" s="1798">
        <v>37591</v>
      </c>
      <c r="D2391" s="1799" t="s">
        <v>2816</v>
      </c>
      <c r="E2391" s="1800" t="s">
        <v>2501</v>
      </c>
      <c r="F2391" s="1807">
        <v>1</v>
      </c>
      <c r="G2391" s="1801">
        <v>26.35</v>
      </c>
      <c r="H2391" s="1802">
        <f>IF(E2391="H",G2391,TRUNC(G2391*(1-$K$7),2))</f>
        <v>26.21</v>
      </c>
      <c r="I2391" s="1803">
        <f t="shared" si="340"/>
        <v>26.21</v>
      </c>
      <c r="J2391" s="1795"/>
    </row>
    <row r="2392" spans="1:10" ht="24">
      <c r="A2392" s="1797" t="s">
        <v>2476</v>
      </c>
      <c r="B2392" s="1798" t="s">
        <v>7</v>
      </c>
      <c r="C2392" s="1798">
        <v>88267</v>
      </c>
      <c r="D2392" s="1799" t="s">
        <v>102</v>
      </c>
      <c r="E2392" s="1800" t="s">
        <v>411</v>
      </c>
      <c r="F2392" s="1807">
        <v>0.4743</v>
      </c>
      <c r="G2392" s="1801">
        <v>24.64</v>
      </c>
      <c r="H2392" s="1802">
        <f>IF(E2392="H",G2392,TRUNC(G2392*(1-$K$7),2))</f>
        <v>24.64</v>
      </c>
      <c r="I2392" s="1803">
        <f t="shared" si="340"/>
        <v>11.68</v>
      </c>
      <c r="J2392" s="1795"/>
    </row>
    <row r="2393" spans="1:10">
      <c r="A2393" s="1797" t="s">
        <v>2476</v>
      </c>
      <c r="B2393" s="1798" t="s">
        <v>7</v>
      </c>
      <c r="C2393" s="1798">
        <v>88316</v>
      </c>
      <c r="D2393" s="1799" t="s">
        <v>66</v>
      </c>
      <c r="E2393" s="1800" t="s">
        <v>411</v>
      </c>
      <c r="F2393" s="1807">
        <v>0.14940000000000001</v>
      </c>
      <c r="G2393" s="1801">
        <v>19.45</v>
      </c>
      <c r="H2393" s="1802">
        <f>IF(E2393="H",G2393,TRUNC(G2393*(1-$K$7),2))</f>
        <v>19.45</v>
      </c>
      <c r="I2393" s="1803">
        <f t="shared" si="340"/>
        <v>2.9</v>
      </c>
      <c r="J2393" s="1795"/>
    </row>
    <row r="2394" spans="1:10">
      <c r="A2394" s="1943" t="s">
        <v>2477</v>
      </c>
      <c r="B2394" s="1944"/>
      <c r="C2394" s="1944"/>
      <c r="D2394" s="1944"/>
      <c r="E2394" s="1944"/>
      <c r="F2394" s="1944"/>
      <c r="G2394" s="1944"/>
      <c r="H2394" s="1945"/>
      <c r="I2394" s="1805">
        <f>SUM(I2390:I2393)</f>
        <v>42.589999999999996</v>
      </c>
      <c r="J2394" s="1795"/>
    </row>
    <row r="2395" spans="1:10">
      <c r="A2395" s="1929"/>
      <c r="B2395" s="1930"/>
      <c r="C2395" s="1930"/>
      <c r="D2395" s="1930"/>
      <c r="E2395" s="1930"/>
      <c r="F2395" s="1930"/>
      <c r="G2395" s="1930"/>
      <c r="H2395" s="1930"/>
      <c r="I2395" s="1931"/>
      <c r="J2395" s="1795"/>
    </row>
    <row r="2396" spans="1:10">
      <c r="A2396" s="1784" t="str">
        <f>'PLANILHA SEM DESON'!B367</f>
        <v>COMP 29</v>
      </c>
      <c r="B2396" s="1940" t="str">
        <f>VLOOKUP(A2396,'PLANILHA SEM DESON'!$B$17:$D$1700,2,FALSE)</f>
        <v>FRONTÃO OU RODABANCADA EM GRANITO, POLIDO,H= 10 CM, E= *2,0* CM - FORNECIMENTO E INSTALAÇÃO</v>
      </c>
      <c r="C2396" s="1941"/>
      <c r="D2396" s="1941"/>
      <c r="E2396" s="1941"/>
      <c r="F2396" s="1941"/>
      <c r="G2396" s="1941"/>
      <c r="H2396" s="1942"/>
      <c r="I2396" s="1785" t="str">
        <f>VLOOKUP(A2396,'PLANILHA SEM DESON'!$B$17:$D$1700,3,FALSE)</f>
        <v>m</v>
      </c>
      <c r="J2396" s="1786">
        <f>I2403</f>
        <v>104.06</v>
      </c>
    </row>
    <row r="2397" spans="1:10" ht="24">
      <c r="A2397" s="1788" t="s">
        <v>2470</v>
      </c>
      <c r="B2397" s="1789" t="s">
        <v>2471</v>
      </c>
      <c r="C2397" s="1790" t="s">
        <v>2468</v>
      </c>
      <c r="D2397" s="1791" t="s">
        <v>308</v>
      </c>
      <c r="E2397" s="1790" t="s">
        <v>202</v>
      </c>
      <c r="F2397" s="1792" t="s">
        <v>2472</v>
      </c>
      <c r="G2397" s="1790" t="s">
        <v>2473</v>
      </c>
      <c r="H2397" s="1793" t="s">
        <v>2474</v>
      </c>
      <c r="I2397" s="1794" t="s">
        <v>2475</v>
      </c>
      <c r="J2397" s="1795"/>
    </row>
    <row r="2398" spans="1:10">
      <c r="A2398" s="1797"/>
      <c r="B2398" s="1798"/>
      <c r="C2398" s="1798">
        <v>88316</v>
      </c>
      <c r="D2398" s="1799" t="s">
        <v>66</v>
      </c>
      <c r="E2398" s="1800" t="s">
        <v>57</v>
      </c>
      <c r="F2398" s="1806">
        <v>0.2</v>
      </c>
      <c r="G2398" s="1808">
        <v>19.45</v>
      </c>
      <c r="H2398" s="1802">
        <f>IF(E2398="H",G2398,TRUNC(G2398*(1-$K$7),2))</f>
        <v>19.45</v>
      </c>
      <c r="I2398" s="1803">
        <f t="shared" ref="I2398:I2402" si="341">TRUNC(H2398*F2398,2)</f>
        <v>3.89</v>
      </c>
      <c r="J2398" s="1795"/>
    </row>
    <row r="2399" spans="1:10">
      <c r="A2399" s="1797"/>
      <c r="B2399" s="1798"/>
      <c r="C2399" s="1798">
        <v>88309</v>
      </c>
      <c r="D2399" s="1799" t="s">
        <v>103</v>
      </c>
      <c r="E2399" s="1800" t="s">
        <v>57</v>
      </c>
      <c r="F2399" s="1806">
        <v>0.2</v>
      </c>
      <c r="G2399" s="1807">
        <v>24.59</v>
      </c>
      <c r="H2399" s="1802">
        <f>IF(E2399="H",G2399,TRUNC(G2399*(1-$K$7),2))</f>
        <v>24.59</v>
      </c>
      <c r="I2399" s="1803">
        <f t="shared" si="341"/>
        <v>4.91</v>
      </c>
      <c r="J2399" s="1795"/>
    </row>
    <row r="2400" spans="1:10">
      <c r="A2400" s="1797"/>
      <c r="B2400" s="1798"/>
      <c r="C2400" s="1798">
        <v>37329</v>
      </c>
      <c r="D2400" s="1799" t="s">
        <v>566</v>
      </c>
      <c r="E2400" s="1800" t="s">
        <v>47</v>
      </c>
      <c r="F2400" s="1811">
        <v>0.1</v>
      </c>
      <c r="G2400" s="1806">
        <v>123.67</v>
      </c>
      <c r="H2400" s="1802">
        <f>IF(E2400="H",G2400,TRUNC(G2400*(1-$K$7),2))</f>
        <v>123.03</v>
      </c>
      <c r="I2400" s="1803">
        <f t="shared" si="341"/>
        <v>12.3</v>
      </c>
      <c r="J2400" s="1795"/>
    </row>
    <row r="2401" spans="1:10">
      <c r="A2401" s="1797"/>
      <c r="B2401" s="1798"/>
      <c r="C2401" s="1798">
        <v>37595</v>
      </c>
      <c r="D2401" s="1799" t="s">
        <v>568</v>
      </c>
      <c r="E2401" s="1800" t="s">
        <v>100</v>
      </c>
      <c r="F2401" s="1811">
        <v>0.5</v>
      </c>
      <c r="G2401" s="1806">
        <v>3.07</v>
      </c>
      <c r="H2401" s="1802">
        <f>IF(E2401="H",G2401,TRUNC(G2401*(1-$K$7),2))</f>
        <v>3.05</v>
      </c>
      <c r="I2401" s="1803">
        <f t="shared" si="341"/>
        <v>1.52</v>
      </c>
      <c r="J2401" s="1795"/>
    </row>
    <row r="2402" spans="1:10" ht="36">
      <c r="A2402" s="1797"/>
      <c r="B2402" s="1798"/>
      <c r="C2402" s="1798">
        <v>20231</v>
      </c>
      <c r="D2402" s="1799" t="s">
        <v>569</v>
      </c>
      <c r="E2402" s="1800" t="s">
        <v>54</v>
      </c>
      <c r="F2402" s="1811">
        <v>1</v>
      </c>
      <c r="G2402" s="1806">
        <v>81.86</v>
      </c>
      <c r="H2402" s="1802">
        <f>IF(E2402="H",G2402,TRUNC(G2402*(1-$K$7),2))</f>
        <v>81.44</v>
      </c>
      <c r="I2402" s="1803">
        <f t="shared" si="341"/>
        <v>81.44</v>
      </c>
      <c r="J2402" s="1795"/>
    </row>
    <row r="2403" spans="1:10">
      <c r="A2403" s="1943" t="s">
        <v>2477</v>
      </c>
      <c r="B2403" s="1944"/>
      <c r="C2403" s="1944"/>
      <c r="D2403" s="1944"/>
      <c r="E2403" s="1944"/>
      <c r="F2403" s="1944"/>
      <c r="G2403" s="1944"/>
      <c r="H2403" s="1945"/>
      <c r="I2403" s="1805">
        <f>SUM(I2398:I2402)</f>
        <v>104.06</v>
      </c>
      <c r="J2403" s="1795"/>
    </row>
    <row r="2404" spans="1:10">
      <c r="A2404" s="1929"/>
      <c r="B2404" s="1930"/>
      <c r="C2404" s="1930"/>
      <c r="D2404" s="1930"/>
      <c r="E2404" s="1930"/>
      <c r="F2404" s="1930"/>
      <c r="G2404" s="1930"/>
      <c r="H2404" s="1930"/>
      <c r="I2404" s="1931"/>
      <c r="J2404" s="1795"/>
    </row>
    <row r="2405" spans="1:10">
      <c r="A2405" s="1784" t="str">
        <f>'PLANILHA SEM DESON'!B368</f>
        <v>COMP 30</v>
      </c>
      <c r="B2405" s="1940" t="str">
        <f>VLOOKUP(A2405,'PLANILHA SEM DESON'!$B$17:$D$1700,2,FALSE)</f>
        <v>BANCADA DE ATENDIMENTO EM CONCRETO, APOIADA EM ALVENARIA</v>
      </c>
      <c r="C2405" s="1941"/>
      <c r="D2405" s="1941"/>
      <c r="E2405" s="1941"/>
      <c r="F2405" s="1941"/>
      <c r="G2405" s="1941"/>
      <c r="H2405" s="1942"/>
      <c r="I2405" s="1785" t="str">
        <f>VLOOKUP(A2405,'PLANILHA SEM DESON'!$B$17:$D$1700,3,FALSE)</f>
        <v>m²</v>
      </c>
      <c r="J2405" s="1786">
        <f>I2414</f>
        <v>338.21999999999997</v>
      </c>
    </row>
    <row r="2406" spans="1:10" ht="24">
      <c r="A2406" s="1788" t="s">
        <v>2470</v>
      </c>
      <c r="B2406" s="1789" t="s">
        <v>2471</v>
      </c>
      <c r="C2406" s="1790" t="s">
        <v>2468</v>
      </c>
      <c r="D2406" s="1791" t="s">
        <v>308</v>
      </c>
      <c r="E2406" s="1790" t="s">
        <v>202</v>
      </c>
      <c r="F2406" s="1792" t="s">
        <v>2472</v>
      </c>
      <c r="G2406" s="1790" t="s">
        <v>2473</v>
      </c>
      <c r="H2406" s="1793" t="s">
        <v>2474</v>
      </c>
      <c r="I2406" s="1794" t="s">
        <v>2475</v>
      </c>
      <c r="J2406" s="1795"/>
    </row>
    <row r="2407" spans="1:10">
      <c r="A2407" s="1797"/>
      <c r="B2407" s="1798"/>
      <c r="C2407" s="1798">
        <v>88316</v>
      </c>
      <c r="D2407" s="1799" t="s">
        <v>66</v>
      </c>
      <c r="E2407" s="1800" t="s">
        <v>57</v>
      </c>
      <c r="F2407" s="1806">
        <v>2</v>
      </c>
      <c r="G2407" s="1808">
        <v>19.45</v>
      </c>
      <c r="H2407" s="1802">
        <f t="shared" ref="H2407:H2413" si="342">IF(E2407="H",G2407,TRUNC(G2407*(1-$K$7),2))</f>
        <v>19.45</v>
      </c>
      <c r="I2407" s="1803">
        <f t="shared" ref="I2407:I2413" si="343">TRUNC(H2407*F2407,2)</f>
        <v>38.9</v>
      </c>
      <c r="J2407" s="1795"/>
    </row>
    <row r="2408" spans="1:10">
      <c r="A2408" s="1797"/>
      <c r="B2408" s="1798"/>
      <c r="C2408" s="1798">
        <v>88309</v>
      </c>
      <c r="D2408" s="1799" t="s">
        <v>103</v>
      </c>
      <c r="E2408" s="1800" t="s">
        <v>57</v>
      </c>
      <c r="F2408" s="1806">
        <v>2</v>
      </c>
      <c r="G2408" s="1807">
        <v>24.59</v>
      </c>
      <c r="H2408" s="1802">
        <f t="shared" si="342"/>
        <v>24.59</v>
      </c>
      <c r="I2408" s="1803">
        <f t="shared" si="343"/>
        <v>49.18</v>
      </c>
      <c r="J2408" s="1795"/>
    </row>
    <row r="2409" spans="1:10" ht="36">
      <c r="A2409" s="1797"/>
      <c r="B2409" s="1798"/>
      <c r="C2409" s="1798">
        <v>102486</v>
      </c>
      <c r="D2409" s="1799" t="s">
        <v>2034</v>
      </c>
      <c r="E2409" s="1800" t="s">
        <v>47</v>
      </c>
      <c r="F2409" s="1811">
        <v>7.0000000000000007E-2</v>
      </c>
      <c r="G2409" s="1806">
        <v>707.32</v>
      </c>
      <c r="H2409" s="1802">
        <f t="shared" si="342"/>
        <v>703.71</v>
      </c>
      <c r="I2409" s="1803">
        <f t="shared" si="343"/>
        <v>49.25</v>
      </c>
      <c r="J2409" s="1795"/>
    </row>
    <row r="2410" spans="1:10" ht="36">
      <c r="A2410" s="1797"/>
      <c r="B2410" s="1798"/>
      <c r="C2410" s="1798">
        <v>103670</v>
      </c>
      <c r="D2410" s="1799" t="s">
        <v>2231</v>
      </c>
      <c r="E2410" s="1800" t="s">
        <v>47</v>
      </c>
      <c r="F2410" s="1811">
        <v>7.0000000000000007E-2</v>
      </c>
      <c r="G2410" s="1806">
        <v>266.11</v>
      </c>
      <c r="H2410" s="1802">
        <f t="shared" si="342"/>
        <v>264.75</v>
      </c>
      <c r="I2410" s="1803">
        <f t="shared" si="343"/>
        <v>18.53</v>
      </c>
      <c r="J2410" s="1795"/>
    </row>
    <row r="2411" spans="1:10" ht="36">
      <c r="A2411" s="1797"/>
      <c r="B2411" s="1798"/>
      <c r="C2411" s="1798">
        <v>96536</v>
      </c>
      <c r="D2411" s="1799" t="s">
        <v>423</v>
      </c>
      <c r="E2411" s="1800" t="s">
        <v>46</v>
      </c>
      <c r="F2411" s="1811">
        <v>1.67</v>
      </c>
      <c r="G2411" s="1806">
        <v>75.89</v>
      </c>
      <c r="H2411" s="1802">
        <f t="shared" si="342"/>
        <v>75.5</v>
      </c>
      <c r="I2411" s="1803">
        <f t="shared" si="343"/>
        <v>126.08</v>
      </c>
      <c r="J2411" s="1795"/>
    </row>
    <row r="2412" spans="1:10" ht="24">
      <c r="A2412" s="1797"/>
      <c r="B2412" s="1798"/>
      <c r="C2412" s="1798">
        <v>92803</v>
      </c>
      <c r="D2412" s="1799" t="s">
        <v>2232</v>
      </c>
      <c r="E2412" s="1800" t="s">
        <v>100</v>
      </c>
      <c r="F2412" s="1811">
        <v>4.4000000000000004</v>
      </c>
      <c r="G2412" s="1806">
        <v>12.06</v>
      </c>
      <c r="H2412" s="1802">
        <f t="shared" si="342"/>
        <v>11.99</v>
      </c>
      <c r="I2412" s="1803">
        <f t="shared" si="343"/>
        <v>52.75</v>
      </c>
      <c r="J2412" s="1795"/>
    </row>
    <row r="2413" spans="1:10" ht="24">
      <c r="A2413" s="1797"/>
      <c r="B2413" s="1798"/>
      <c r="C2413" s="1798">
        <v>345</v>
      </c>
      <c r="D2413" s="1799" t="s">
        <v>2035</v>
      </c>
      <c r="E2413" s="1800" t="s">
        <v>100</v>
      </c>
      <c r="F2413" s="1811">
        <v>0.1</v>
      </c>
      <c r="G2413" s="1806">
        <v>35.51</v>
      </c>
      <c r="H2413" s="1802">
        <f t="shared" si="342"/>
        <v>35.32</v>
      </c>
      <c r="I2413" s="1803">
        <f t="shared" si="343"/>
        <v>3.53</v>
      </c>
      <c r="J2413" s="1795"/>
    </row>
    <row r="2414" spans="1:10">
      <c r="A2414" s="1943" t="s">
        <v>2477</v>
      </c>
      <c r="B2414" s="1944"/>
      <c r="C2414" s="1944"/>
      <c r="D2414" s="1944"/>
      <c r="E2414" s="1944"/>
      <c r="F2414" s="1944"/>
      <c r="G2414" s="1944"/>
      <c r="H2414" s="1945"/>
      <c r="I2414" s="1805">
        <f>SUM(I2407:I2413)</f>
        <v>338.21999999999997</v>
      </c>
      <c r="J2414" s="1795"/>
    </row>
    <row r="2415" spans="1:10">
      <c r="A2415" s="1929"/>
      <c r="B2415" s="1930"/>
      <c r="C2415" s="1930"/>
      <c r="D2415" s="1930"/>
      <c r="E2415" s="1930"/>
      <c r="F2415" s="1930"/>
      <c r="G2415" s="1930"/>
      <c r="H2415" s="1930"/>
      <c r="I2415" s="1931"/>
      <c r="J2415" s="1795"/>
    </row>
    <row r="2416" spans="1:10" ht="24.75" customHeight="1">
      <c r="A2416" s="1784">
        <f>'PLANILHA SEM DESON'!B369</f>
        <v>102253</v>
      </c>
      <c r="B2416" s="1940" t="str">
        <f>VLOOKUP(A2416,'PLANILHA SEM DESON'!$B$17:$D$1700,2,FALSE)</f>
        <v>DIVISORIA SANITÁRIA, TIPO CABINE, EM GRANITO CINZA POLIDO, ESP = 3CM, ASSENTADO COM ARGAMASSA COLANTE AC III-E, EXCLUSIVE FERRAGENS. AF_01/2021</v>
      </c>
      <c r="C2416" s="1941"/>
      <c r="D2416" s="1941"/>
      <c r="E2416" s="1941"/>
      <c r="F2416" s="1941"/>
      <c r="G2416" s="1941"/>
      <c r="H2416" s="1942"/>
      <c r="I2416" s="1785" t="str">
        <f>VLOOKUP(A2416,'PLANILHA SEM DESON'!$B$17:$D$1700,3,FALSE)</f>
        <v>m²</v>
      </c>
      <c r="J2416" s="1786">
        <f>I2425</f>
        <v>1069.8300000000002</v>
      </c>
    </row>
    <row r="2417" spans="1:10" ht="24">
      <c r="A2417" s="1788" t="s">
        <v>2470</v>
      </c>
      <c r="B2417" s="1789" t="s">
        <v>2471</v>
      </c>
      <c r="C2417" s="1790" t="s">
        <v>2468</v>
      </c>
      <c r="D2417" s="1791" t="s">
        <v>308</v>
      </c>
      <c r="E2417" s="1790" t="s">
        <v>202</v>
      </c>
      <c r="F2417" s="1792" t="s">
        <v>2472</v>
      </c>
      <c r="G2417" s="1790" t="s">
        <v>2473</v>
      </c>
      <c r="H2417" s="1793" t="s">
        <v>2474</v>
      </c>
      <c r="I2417" s="1794" t="s">
        <v>2475</v>
      </c>
      <c r="J2417" s="1795"/>
    </row>
    <row r="2418" spans="1:10" ht="24">
      <c r="A2418" s="1797" t="s">
        <v>2476</v>
      </c>
      <c r="B2418" s="1798" t="s">
        <v>2479</v>
      </c>
      <c r="C2418" s="1798">
        <v>131</v>
      </c>
      <c r="D2418" s="1799" t="s">
        <v>2817</v>
      </c>
      <c r="E2418" s="1800" t="s">
        <v>1184</v>
      </c>
      <c r="F2418" s="1807">
        <v>0.53</v>
      </c>
      <c r="G2418" s="1801">
        <v>58.31</v>
      </c>
      <c r="H2418" s="1802">
        <f t="shared" ref="H2418:H2424" si="344">IF(E2418="H",G2418,TRUNC(G2418*(1-$K$7),2))</f>
        <v>58.01</v>
      </c>
      <c r="I2418" s="1803">
        <f t="shared" ref="I2418:I2424" si="345">TRUNC(H2418*F2418,2)</f>
        <v>30.74</v>
      </c>
      <c r="J2418" s="1795"/>
    </row>
    <row r="2419" spans="1:10">
      <c r="A2419" s="1797" t="s">
        <v>2476</v>
      </c>
      <c r="B2419" s="1798" t="s">
        <v>2479</v>
      </c>
      <c r="C2419" s="1798">
        <v>37596</v>
      </c>
      <c r="D2419" s="1799" t="s">
        <v>2818</v>
      </c>
      <c r="E2419" s="1800" t="s">
        <v>1184</v>
      </c>
      <c r="F2419" s="1807">
        <v>0.97</v>
      </c>
      <c r="G2419" s="1801">
        <v>3.52</v>
      </c>
      <c r="H2419" s="1802">
        <f t="shared" si="344"/>
        <v>3.5</v>
      </c>
      <c r="I2419" s="1803">
        <f t="shared" si="345"/>
        <v>3.39</v>
      </c>
      <c r="J2419" s="1795"/>
    </row>
    <row r="2420" spans="1:10" ht="36">
      <c r="A2420" s="1797" t="s">
        <v>2476</v>
      </c>
      <c r="B2420" s="1798" t="s">
        <v>2479</v>
      </c>
      <c r="C2420" s="1798">
        <v>44476</v>
      </c>
      <c r="D2420" s="1799" t="s">
        <v>2819</v>
      </c>
      <c r="E2420" s="1800" t="s">
        <v>2807</v>
      </c>
      <c r="F2420" s="1807">
        <v>1.05</v>
      </c>
      <c r="G2420" s="1801">
        <v>920.12</v>
      </c>
      <c r="H2420" s="1802">
        <f t="shared" si="344"/>
        <v>915.42</v>
      </c>
      <c r="I2420" s="1803">
        <f t="shared" si="345"/>
        <v>961.19</v>
      </c>
      <c r="J2420" s="1795"/>
    </row>
    <row r="2421" spans="1:10" ht="24">
      <c r="A2421" s="1797" t="s">
        <v>2476</v>
      </c>
      <c r="B2421" s="1798" t="s">
        <v>7</v>
      </c>
      <c r="C2421" s="1798">
        <v>88274</v>
      </c>
      <c r="D2421" s="1799" t="s">
        <v>2672</v>
      </c>
      <c r="E2421" s="1800" t="s">
        <v>411</v>
      </c>
      <c r="F2421" s="1807">
        <v>1.405</v>
      </c>
      <c r="G2421" s="1801">
        <v>24.49</v>
      </c>
      <c r="H2421" s="1802">
        <f t="shared" si="344"/>
        <v>24.49</v>
      </c>
      <c r="I2421" s="1803">
        <f t="shared" si="345"/>
        <v>34.4</v>
      </c>
      <c r="J2421" s="1795"/>
    </row>
    <row r="2422" spans="1:10">
      <c r="A2422" s="1797" t="s">
        <v>2476</v>
      </c>
      <c r="B2422" s="1798" t="s">
        <v>7</v>
      </c>
      <c r="C2422" s="1798">
        <v>88316</v>
      </c>
      <c r="D2422" s="1799" t="s">
        <v>66</v>
      </c>
      <c r="E2422" s="1800" t="s">
        <v>411</v>
      </c>
      <c r="F2422" s="1807">
        <v>0.70199999999999996</v>
      </c>
      <c r="G2422" s="1801">
        <v>19.45</v>
      </c>
      <c r="H2422" s="1802">
        <f t="shared" si="344"/>
        <v>19.45</v>
      </c>
      <c r="I2422" s="1803">
        <f t="shared" si="345"/>
        <v>13.65</v>
      </c>
      <c r="J2422" s="1795"/>
    </row>
    <row r="2423" spans="1:10" ht="36">
      <c r="A2423" s="1797" t="s">
        <v>2476</v>
      </c>
      <c r="B2423" s="1798" t="s">
        <v>7</v>
      </c>
      <c r="C2423" s="1798">
        <v>91692</v>
      </c>
      <c r="D2423" s="1799" t="s">
        <v>2493</v>
      </c>
      <c r="E2423" s="1800" t="s">
        <v>456</v>
      </c>
      <c r="F2423" s="1807">
        <v>8.8999999999999996E-2</v>
      </c>
      <c r="G2423" s="1801">
        <v>20.41</v>
      </c>
      <c r="H2423" s="1802">
        <f t="shared" si="344"/>
        <v>20.3</v>
      </c>
      <c r="I2423" s="1803">
        <f t="shared" si="345"/>
        <v>1.8</v>
      </c>
      <c r="J2423" s="1795"/>
    </row>
    <row r="2424" spans="1:10" ht="36">
      <c r="A2424" s="1797" t="s">
        <v>2476</v>
      </c>
      <c r="B2424" s="1798" t="s">
        <v>7</v>
      </c>
      <c r="C2424" s="1798">
        <v>91693</v>
      </c>
      <c r="D2424" s="1799" t="s">
        <v>2494</v>
      </c>
      <c r="E2424" s="1800" t="s">
        <v>577</v>
      </c>
      <c r="F2424" s="1807">
        <v>1.3160000000000001</v>
      </c>
      <c r="G2424" s="1801">
        <v>18.84</v>
      </c>
      <c r="H2424" s="1802">
        <f t="shared" si="344"/>
        <v>18.739999999999998</v>
      </c>
      <c r="I2424" s="1803">
        <f t="shared" si="345"/>
        <v>24.66</v>
      </c>
      <c r="J2424" s="1795"/>
    </row>
    <row r="2425" spans="1:10">
      <c r="A2425" s="1943" t="s">
        <v>2477</v>
      </c>
      <c r="B2425" s="1944"/>
      <c r="C2425" s="1944"/>
      <c r="D2425" s="1944"/>
      <c r="E2425" s="1944"/>
      <c r="F2425" s="1944"/>
      <c r="G2425" s="1944"/>
      <c r="H2425" s="1945"/>
      <c r="I2425" s="1805">
        <f>SUM(I2418:I2424)</f>
        <v>1069.8300000000002</v>
      </c>
      <c r="J2425" s="1795"/>
    </row>
    <row r="2426" spans="1:10">
      <c r="A2426" s="1929"/>
      <c r="B2426" s="1930"/>
      <c r="C2426" s="1930"/>
      <c r="D2426" s="1930"/>
      <c r="E2426" s="1930"/>
      <c r="F2426" s="1930"/>
      <c r="G2426" s="1930"/>
      <c r="H2426" s="1930"/>
      <c r="I2426" s="1931"/>
      <c r="J2426" s="1795"/>
    </row>
    <row r="2427" spans="1:10">
      <c r="A2427" s="1784" t="str">
        <f>'PLANILHA SEM DESON'!B370</f>
        <v>COMP 27</v>
      </c>
      <c r="B2427" s="1940" t="str">
        <f>VLOOKUP(A2427,'PLANILHA SEM DESON'!$B$17:$D$1700,2,FALSE)</f>
        <v xml:space="preserve">REQUADRO DE GRANITO BRANCO SIENA PARA A ÁREA DO JARDIM </v>
      </c>
      <c r="C2427" s="1941"/>
      <c r="D2427" s="1941"/>
      <c r="E2427" s="1941"/>
      <c r="F2427" s="1941"/>
      <c r="G2427" s="1941"/>
      <c r="H2427" s="1942"/>
      <c r="I2427" s="1785" t="str">
        <f>VLOOKUP(A2427,'PLANILHA SEM DESON'!$B$17:$D$1700,3,FALSE)</f>
        <v>m²</v>
      </c>
      <c r="J2427" s="1786">
        <f>I2438</f>
        <v>1003.73</v>
      </c>
    </row>
    <row r="2428" spans="1:10" ht="24">
      <c r="A2428" s="1788" t="s">
        <v>2470</v>
      </c>
      <c r="B2428" s="1789" t="s">
        <v>2471</v>
      </c>
      <c r="C2428" s="1790" t="s">
        <v>2468</v>
      </c>
      <c r="D2428" s="1791" t="s">
        <v>308</v>
      </c>
      <c r="E2428" s="1790" t="s">
        <v>202</v>
      </c>
      <c r="F2428" s="1792" t="s">
        <v>2472</v>
      </c>
      <c r="G2428" s="1790" t="s">
        <v>2473</v>
      </c>
      <c r="H2428" s="1793" t="s">
        <v>2474</v>
      </c>
      <c r="I2428" s="1794" t="s">
        <v>2475</v>
      </c>
      <c r="J2428" s="1795"/>
    </row>
    <row r="2429" spans="1:10" ht="24">
      <c r="A2429" s="1797"/>
      <c r="B2429" s="1798"/>
      <c r="C2429" s="1798">
        <v>88256</v>
      </c>
      <c r="D2429" s="1799" t="s">
        <v>1477</v>
      </c>
      <c r="E2429" s="1800" t="s">
        <v>57</v>
      </c>
      <c r="F2429" s="1809">
        <v>1.7</v>
      </c>
      <c r="G2429" s="1806">
        <v>24.49</v>
      </c>
      <c r="H2429" s="1802">
        <f t="shared" ref="H2429:H2437" si="346">IF(E2429="H",G2429,TRUNC(G2429*(1-$K$7),2))</f>
        <v>24.49</v>
      </c>
      <c r="I2429" s="1803">
        <f t="shared" ref="I2429:I2437" si="347">TRUNC(H2429*F2429,2)</f>
        <v>41.63</v>
      </c>
      <c r="J2429" s="1795"/>
    </row>
    <row r="2430" spans="1:10">
      <c r="A2430" s="1797"/>
      <c r="B2430" s="1798"/>
      <c r="C2430" s="1798">
        <v>88309</v>
      </c>
      <c r="D2430" s="1799" t="s">
        <v>103</v>
      </c>
      <c r="E2430" s="1800" t="s">
        <v>57</v>
      </c>
      <c r="F2430" s="1809">
        <v>0.6</v>
      </c>
      <c r="G2430" s="1807">
        <v>24.59</v>
      </c>
      <c r="H2430" s="1802">
        <f t="shared" si="346"/>
        <v>24.59</v>
      </c>
      <c r="I2430" s="1803">
        <f t="shared" ref="I2430:I2431" si="348">TRUNC(H2430*F2430,2)</f>
        <v>14.75</v>
      </c>
      <c r="J2430" s="1795"/>
    </row>
    <row r="2431" spans="1:10">
      <c r="A2431" s="1797"/>
      <c r="B2431" s="1798"/>
      <c r="C2431" s="1798">
        <v>88316</v>
      </c>
      <c r="D2431" s="1799" t="s">
        <v>66</v>
      </c>
      <c r="E2431" s="1800" t="s">
        <v>57</v>
      </c>
      <c r="F2431" s="1809">
        <v>1.8</v>
      </c>
      <c r="G2431" s="1808">
        <v>19.45</v>
      </c>
      <c r="H2431" s="1802">
        <f t="shared" si="346"/>
        <v>19.45</v>
      </c>
      <c r="I2431" s="1803">
        <f t="shared" si="348"/>
        <v>35.01</v>
      </c>
      <c r="J2431" s="1795"/>
    </row>
    <row r="2432" spans="1:10" ht="24">
      <c r="A2432" s="1797"/>
      <c r="B2432" s="1798"/>
      <c r="C2432" s="1798">
        <v>370</v>
      </c>
      <c r="D2432" s="1799" t="s">
        <v>412</v>
      </c>
      <c r="E2432" s="1800" t="s">
        <v>47</v>
      </c>
      <c r="F2432" s="1809">
        <v>2.1000000000000001E-2</v>
      </c>
      <c r="G2432" s="1806">
        <v>125</v>
      </c>
      <c r="H2432" s="1802">
        <f t="shared" si="346"/>
        <v>124.36</v>
      </c>
      <c r="I2432" s="1803">
        <f t="shared" si="347"/>
        <v>2.61</v>
      </c>
      <c r="J2432" s="1795"/>
    </row>
    <row r="2433" spans="1:10">
      <c r="A2433" s="1797"/>
      <c r="B2433" s="1798"/>
      <c r="C2433" s="1798">
        <v>1106</v>
      </c>
      <c r="D2433" s="1799" t="s">
        <v>531</v>
      </c>
      <c r="E2433" s="1800" t="s">
        <v>100</v>
      </c>
      <c r="F2433" s="1809">
        <v>4.6399999999999997</v>
      </c>
      <c r="G2433" s="1806">
        <v>0.95</v>
      </c>
      <c r="H2433" s="1802">
        <f t="shared" si="346"/>
        <v>0.94</v>
      </c>
      <c r="I2433" s="1803">
        <f t="shared" si="347"/>
        <v>4.3600000000000003</v>
      </c>
      <c r="J2433" s="1795"/>
    </row>
    <row r="2434" spans="1:10" ht="24">
      <c r="A2434" s="1797"/>
      <c r="B2434" s="1798"/>
      <c r="C2434" s="1798">
        <v>34361</v>
      </c>
      <c r="D2434" s="1799" t="s">
        <v>1667</v>
      </c>
      <c r="E2434" s="1800" t="s">
        <v>100</v>
      </c>
      <c r="F2434" s="1809">
        <v>1.34</v>
      </c>
      <c r="G2434" s="1806">
        <v>21.57</v>
      </c>
      <c r="H2434" s="1802">
        <f t="shared" si="346"/>
        <v>21.45</v>
      </c>
      <c r="I2434" s="1803">
        <f t="shared" si="347"/>
        <v>28.74</v>
      </c>
      <c r="J2434" s="1795"/>
    </row>
    <row r="2435" spans="1:10">
      <c r="A2435" s="1797"/>
      <c r="B2435" s="1798"/>
      <c r="C2435" s="1798">
        <v>13284</v>
      </c>
      <c r="D2435" s="1799" t="s">
        <v>2025</v>
      </c>
      <c r="E2435" s="1800" t="s">
        <v>100</v>
      </c>
      <c r="F2435" s="1806">
        <v>2.2200000000000002</v>
      </c>
      <c r="G2435" s="1806">
        <v>0.95</v>
      </c>
      <c r="H2435" s="1802">
        <f t="shared" si="346"/>
        <v>0.94</v>
      </c>
      <c r="I2435" s="1803">
        <f t="shared" si="347"/>
        <v>2.08</v>
      </c>
      <c r="J2435" s="1795"/>
    </row>
    <row r="2436" spans="1:10">
      <c r="A2436" s="1797"/>
      <c r="B2436" s="1798"/>
      <c r="C2436" s="1798">
        <v>1380</v>
      </c>
      <c r="D2436" s="1799" t="s">
        <v>1668</v>
      </c>
      <c r="E2436" s="1800" t="s">
        <v>100</v>
      </c>
      <c r="F2436" s="1806">
        <v>2.5</v>
      </c>
      <c r="G2436" s="1806">
        <v>2.95</v>
      </c>
      <c r="H2436" s="1802">
        <f t="shared" si="346"/>
        <v>2.93</v>
      </c>
      <c r="I2436" s="1803">
        <f t="shared" si="347"/>
        <v>7.32</v>
      </c>
      <c r="J2436" s="1795"/>
    </row>
    <row r="2437" spans="1:10" ht="36">
      <c r="A2437" s="1797"/>
      <c r="B2437" s="1798"/>
      <c r="C2437" s="1798">
        <v>11795</v>
      </c>
      <c r="D2437" s="1799" t="s">
        <v>1666</v>
      </c>
      <c r="E2437" s="1800" t="s">
        <v>46</v>
      </c>
      <c r="F2437" s="1806">
        <v>1.05</v>
      </c>
      <c r="G2437" s="1806">
        <v>830.18</v>
      </c>
      <c r="H2437" s="1802">
        <f t="shared" si="346"/>
        <v>825.94</v>
      </c>
      <c r="I2437" s="1803">
        <f t="shared" si="347"/>
        <v>867.23</v>
      </c>
      <c r="J2437" s="1795"/>
    </row>
    <row r="2438" spans="1:10">
      <c r="A2438" s="1943" t="s">
        <v>2477</v>
      </c>
      <c r="B2438" s="1944"/>
      <c r="C2438" s="1944"/>
      <c r="D2438" s="1944"/>
      <c r="E2438" s="1944"/>
      <c r="F2438" s="1944"/>
      <c r="G2438" s="1944"/>
      <c r="H2438" s="1945"/>
      <c r="I2438" s="1805">
        <f>SUM(I2429:I2437)</f>
        <v>1003.73</v>
      </c>
      <c r="J2438" s="1795"/>
    </row>
    <row r="2439" spans="1:10">
      <c r="A2439" s="1929"/>
      <c r="B2439" s="1930"/>
      <c r="C2439" s="1930"/>
      <c r="D2439" s="1930"/>
      <c r="E2439" s="1930"/>
      <c r="F2439" s="1930"/>
      <c r="G2439" s="1930"/>
      <c r="H2439" s="1930"/>
      <c r="I2439" s="1931"/>
      <c r="J2439" s="1795"/>
    </row>
    <row r="2440" spans="1:10" ht="24.75" customHeight="1">
      <c r="A2440" s="1784">
        <f>'PLANILHA SEM DESON'!B381</f>
        <v>98562</v>
      </c>
      <c r="B2440" s="1940" t="str">
        <f>VLOOKUP(A2440,'PLANILHA SEM DESON'!$B$17:$D$1700,2,FALSE)</f>
        <v>IMPERMEABILIZAÇÃO DE FLOREIRA OU VIGA BALDRAME COM ARGAMASSA DE CIMENTO E AREIA, COM ADITIVO IMPERMEABILIZANTE, E = 2 CM. AF_06/2018</v>
      </c>
      <c r="C2440" s="1941"/>
      <c r="D2440" s="1941"/>
      <c r="E2440" s="1941"/>
      <c r="F2440" s="1941"/>
      <c r="G2440" s="1941"/>
      <c r="H2440" s="1942"/>
      <c r="I2440" s="1785" t="str">
        <f>VLOOKUP(A2440,'PLANILHA SEM DESON'!$B$17:$D$1700,3,FALSE)</f>
        <v>m²</v>
      </c>
      <c r="J2440" s="1786">
        <f>I2446</f>
        <v>45.329999999999991</v>
      </c>
    </row>
    <row r="2441" spans="1:10" ht="24">
      <c r="A2441" s="1788" t="s">
        <v>2470</v>
      </c>
      <c r="B2441" s="1789" t="s">
        <v>2471</v>
      </c>
      <c r="C2441" s="1790" t="s">
        <v>2468</v>
      </c>
      <c r="D2441" s="1791" t="s">
        <v>308</v>
      </c>
      <c r="E2441" s="1790" t="s">
        <v>202</v>
      </c>
      <c r="F2441" s="1792" t="s">
        <v>2472</v>
      </c>
      <c r="G2441" s="1790" t="s">
        <v>2473</v>
      </c>
      <c r="H2441" s="1793" t="s">
        <v>2474</v>
      </c>
      <c r="I2441" s="1794" t="s">
        <v>2475</v>
      </c>
      <c r="J2441" s="1795"/>
    </row>
    <row r="2442" spans="1:10" ht="36">
      <c r="A2442" s="1797" t="s">
        <v>2476</v>
      </c>
      <c r="B2442" s="1798" t="s">
        <v>2479</v>
      </c>
      <c r="C2442" s="1798">
        <v>123</v>
      </c>
      <c r="D2442" s="1799" t="s">
        <v>2820</v>
      </c>
      <c r="E2442" s="1800" t="s">
        <v>455</v>
      </c>
      <c r="F2442" s="1807">
        <v>0.55900000000000005</v>
      </c>
      <c r="G2442" s="1801">
        <v>9.1999999999999993</v>
      </c>
      <c r="H2442" s="1802">
        <f>IF(E2442="H",G2442,TRUNC(G2442*(1-$K$7),2))</f>
        <v>9.15</v>
      </c>
      <c r="I2442" s="1803">
        <f t="shared" ref="I2442:I2445" si="349">TRUNC(H2442*F2442,2)</f>
        <v>5.1100000000000003</v>
      </c>
      <c r="J2442" s="1795"/>
    </row>
    <row r="2443" spans="1:10" ht="36">
      <c r="A2443" s="1797" t="s">
        <v>2476</v>
      </c>
      <c r="B2443" s="1798" t="s">
        <v>7</v>
      </c>
      <c r="C2443" s="1798">
        <v>87298</v>
      </c>
      <c r="D2443" s="1799" t="s">
        <v>2821</v>
      </c>
      <c r="E2443" s="1800" t="s">
        <v>1171</v>
      </c>
      <c r="F2443" s="1807">
        <v>2.5000000000000001E-2</v>
      </c>
      <c r="G2443" s="1801">
        <v>780.11</v>
      </c>
      <c r="H2443" s="1802">
        <f>IF(E2443="H",G2443,TRUNC(G2443*(1-$K$7),2))</f>
        <v>776.13</v>
      </c>
      <c r="I2443" s="1803">
        <f t="shared" si="349"/>
        <v>19.399999999999999</v>
      </c>
      <c r="J2443" s="1795"/>
    </row>
    <row r="2444" spans="1:10">
      <c r="A2444" s="1797" t="s">
        <v>2476</v>
      </c>
      <c r="B2444" s="1798" t="s">
        <v>7</v>
      </c>
      <c r="C2444" s="1798">
        <v>88309</v>
      </c>
      <c r="D2444" s="1799" t="s">
        <v>103</v>
      </c>
      <c r="E2444" s="1800" t="s">
        <v>411</v>
      </c>
      <c r="F2444" s="1807">
        <v>0.73</v>
      </c>
      <c r="G2444" s="1801">
        <v>24.59</v>
      </c>
      <c r="H2444" s="1802">
        <f>IF(E2444="H",G2444,TRUNC(G2444*(1-$K$7),2))</f>
        <v>24.59</v>
      </c>
      <c r="I2444" s="1803">
        <f t="shared" si="349"/>
        <v>17.95</v>
      </c>
      <c r="J2444" s="1795"/>
    </row>
    <row r="2445" spans="1:10">
      <c r="A2445" s="1797" t="s">
        <v>2476</v>
      </c>
      <c r="B2445" s="1798" t="s">
        <v>7</v>
      </c>
      <c r="C2445" s="1798">
        <v>88316</v>
      </c>
      <c r="D2445" s="1799" t="s">
        <v>66</v>
      </c>
      <c r="E2445" s="1800" t="s">
        <v>411</v>
      </c>
      <c r="F2445" s="1807">
        <v>0.14799999999999999</v>
      </c>
      <c r="G2445" s="1801">
        <v>19.45</v>
      </c>
      <c r="H2445" s="1802">
        <f>IF(E2445="H",G2445,TRUNC(G2445*(1-$K$7),2))</f>
        <v>19.45</v>
      </c>
      <c r="I2445" s="1803">
        <f t="shared" si="349"/>
        <v>2.87</v>
      </c>
      <c r="J2445" s="1795"/>
    </row>
    <row r="2446" spans="1:10">
      <c r="A2446" s="1943" t="s">
        <v>2477</v>
      </c>
      <c r="B2446" s="1944"/>
      <c r="C2446" s="1944"/>
      <c r="D2446" s="1944"/>
      <c r="E2446" s="1944"/>
      <c r="F2446" s="1944"/>
      <c r="G2446" s="1944"/>
      <c r="H2446" s="1945"/>
      <c r="I2446" s="1805">
        <f>SUM(I2442:I2445)</f>
        <v>45.329999999999991</v>
      </c>
      <c r="J2446" s="1795"/>
    </row>
    <row r="2447" spans="1:10">
      <c r="A2447" s="1929"/>
      <c r="B2447" s="1930"/>
      <c r="C2447" s="1930"/>
      <c r="D2447" s="1930"/>
      <c r="E2447" s="1930"/>
      <c r="F2447" s="1930"/>
      <c r="G2447" s="1930"/>
      <c r="H2447" s="1930"/>
      <c r="I2447" s="1931"/>
      <c r="J2447" s="1795"/>
    </row>
    <row r="2448" spans="1:10" ht="24" customHeight="1">
      <c r="A2448" s="1784">
        <f>'PLANILHA SEM DESON'!B383</f>
        <v>96534</v>
      </c>
      <c r="B2448" s="1940" t="str">
        <f>VLOOKUP(A2448,'PLANILHA SEM DESON'!$B$17:$D$1700,2,FALSE)</f>
        <v>FABRICAÇÃO, MONTAGEM E DESMONTAGEM DE FÔRMA PARA BLOCO DE COROAMENTO,EM MADEIRA SERRADA, E=25 MM, 4 UTILIZAÇÕES. AF_06/2017</v>
      </c>
      <c r="C2448" s="1941"/>
      <c r="D2448" s="1941"/>
      <c r="E2448" s="1941"/>
      <c r="F2448" s="1941"/>
      <c r="G2448" s="1941"/>
      <c r="H2448" s="1942"/>
      <c r="I2448" s="1785" t="str">
        <f>VLOOKUP(A2448,'PLANILHA SEM DESON'!$B$17:$D$1700,3,FALSE)</f>
        <v>m²</v>
      </c>
      <c r="J2448" s="1786">
        <f>I2460</f>
        <v>87.600000000000009</v>
      </c>
    </row>
    <row r="2449" spans="1:10" ht="24">
      <c r="A2449" s="1788" t="s">
        <v>2470</v>
      </c>
      <c r="B2449" s="1789" t="s">
        <v>2471</v>
      </c>
      <c r="C2449" s="1790" t="s">
        <v>2468</v>
      </c>
      <c r="D2449" s="1791" t="s">
        <v>308</v>
      </c>
      <c r="E2449" s="1790" t="s">
        <v>202</v>
      </c>
      <c r="F2449" s="1792" t="s">
        <v>2472</v>
      </c>
      <c r="G2449" s="1790" t="s">
        <v>2473</v>
      </c>
      <c r="H2449" s="1793" t="s">
        <v>2474</v>
      </c>
      <c r="I2449" s="1794" t="s">
        <v>2475</v>
      </c>
      <c r="J2449" s="1795"/>
    </row>
    <row r="2450" spans="1:10" ht="24">
      <c r="A2450" s="1797" t="s">
        <v>2476</v>
      </c>
      <c r="B2450" s="1798" t="s">
        <v>2479</v>
      </c>
      <c r="C2450" s="1798">
        <v>2692</v>
      </c>
      <c r="D2450" s="1799" t="s">
        <v>1730</v>
      </c>
      <c r="E2450" s="1800" t="s">
        <v>455</v>
      </c>
      <c r="F2450" s="1807">
        <v>1.7000000000000001E-2</v>
      </c>
      <c r="G2450" s="1801">
        <v>8.84</v>
      </c>
      <c r="H2450" s="1802">
        <f t="shared" ref="H2450:H2459" si="350">IF(E2450="H",G2450,TRUNC(G2450*(1-$K$7),2))</f>
        <v>8.7899999999999991</v>
      </c>
      <c r="I2450" s="1803">
        <f t="shared" ref="I2450:I2459" si="351">TRUNC(H2450*F2450,2)</f>
        <v>0.14000000000000001</v>
      </c>
      <c r="J2450" s="1795"/>
    </row>
    <row r="2451" spans="1:10" ht="24">
      <c r="A2451" s="1797" t="s">
        <v>2476</v>
      </c>
      <c r="B2451" s="1798" t="s">
        <v>2479</v>
      </c>
      <c r="C2451" s="1798">
        <v>4491</v>
      </c>
      <c r="D2451" s="1799" t="s">
        <v>1433</v>
      </c>
      <c r="E2451" s="1800" t="s">
        <v>160</v>
      </c>
      <c r="F2451" s="1807">
        <v>0.625</v>
      </c>
      <c r="G2451" s="1801">
        <v>11.67</v>
      </c>
      <c r="H2451" s="1802">
        <f t="shared" si="350"/>
        <v>11.61</v>
      </c>
      <c r="I2451" s="1803">
        <f t="shared" ref="I2451:I2453" si="352">TRUNC(H2451*F2451,2)</f>
        <v>7.25</v>
      </c>
      <c r="J2451" s="1795"/>
    </row>
    <row r="2452" spans="1:10" ht="24">
      <c r="A2452" s="1797" t="s">
        <v>2476</v>
      </c>
      <c r="B2452" s="1798" t="s">
        <v>2479</v>
      </c>
      <c r="C2452" s="1798">
        <v>4517</v>
      </c>
      <c r="D2452" s="1799" t="s">
        <v>1731</v>
      </c>
      <c r="E2452" s="1800" t="s">
        <v>160</v>
      </c>
      <c r="F2452" s="1807">
        <v>0.92400000000000004</v>
      </c>
      <c r="G2452" s="1801">
        <v>4.08</v>
      </c>
      <c r="H2452" s="1802">
        <f t="shared" si="350"/>
        <v>4.05</v>
      </c>
      <c r="I2452" s="1803">
        <f t="shared" si="352"/>
        <v>3.74</v>
      </c>
      <c r="J2452" s="1795"/>
    </row>
    <row r="2453" spans="1:10" ht="24">
      <c r="A2453" s="1797" t="s">
        <v>2476</v>
      </c>
      <c r="B2453" s="1798" t="s">
        <v>2479</v>
      </c>
      <c r="C2453" s="1798">
        <v>5074</v>
      </c>
      <c r="D2453" s="1799" t="s">
        <v>2822</v>
      </c>
      <c r="E2453" s="1800" t="s">
        <v>1184</v>
      </c>
      <c r="F2453" s="1807">
        <v>1.0999999999999999E-2</v>
      </c>
      <c r="G2453" s="1801">
        <v>29.01</v>
      </c>
      <c r="H2453" s="1802">
        <f t="shared" si="350"/>
        <v>28.86</v>
      </c>
      <c r="I2453" s="1803">
        <f t="shared" si="352"/>
        <v>0.31</v>
      </c>
      <c r="J2453" s="1795"/>
    </row>
    <row r="2454" spans="1:10" ht="36">
      <c r="A2454" s="1797" t="s">
        <v>2476</v>
      </c>
      <c r="B2454" s="1798" t="s">
        <v>2479</v>
      </c>
      <c r="C2454" s="1798">
        <v>6189</v>
      </c>
      <c r="D2454" s="1799" t="s">
        <v>1435</v>
      </c>
      <c r="E2454" s="1800" t="s">
        <v>160</v>
      </c>
      <c r="F2454" s="1807">
        <v>1.0589999999999999</v>
      </c>
      <c r="G2454" s="1801">
        <v>26.29</v>
      </c>
      <c r="H2454" s="1802">
        <f t="shared" si="350"/>
        <v>26.15</v>
      </c>
      <c r="I2454" s="1803">
        <f t="shared" si="351"/>
        <v>27.69</v>
      </c>
      <c r="J2454" s="1795"/>
    </row>
    <row r="2455" spans="1:10" ht="24">
      <c r="A2455" s="1797" t="s">
        <v>2476</v>
      </c>
      <c r="B2455" s="1798" t="s">
        <v>2479</v>
      </c>
      <c r="C2455" s="1798">
        <v>40304</v>
      </c>
      <c r="D2455" s="1799" t="s">
        <v>2618</v>
      </c>
      <c r="E2455" s="1800" t="s">
        <v>1184</v>
      </c>
      <c r="F2455" s="1807">
        <v>4.3999999999999997E-2</v>
      </c>
      <c r="G2455" s="1801">
        <v>31.95</v>
      </c>
      <c r="H2455" s="1802">
        <f t="shared" si="350"/>
        <v>31.78</v>
      </c>
      <c r="I2455" s="1803">
        <f t="shared" si="351"/>
        <v>1.39</v>
      </c>
      <c r="J2455" s="1795"/>
    </row>
    <row r="2456" spans="1:10" ht="24">
      <c r="A2456" s="1797" t="s">
        <v>2476</v>
      </c>
      <c r="B2456" s="1798" t="s">
        <v>7</v>
      </c>
      <c r="C2456" s="1798">
        <v>88239</v>
      </c>
      <c r="D2456" s="1799" t="s">
        <v>454</v>
      </c>
      <c r="E2456" s="1800" t="s">
        <v>411</v>
      </c>
      <c r="F2456" s="1807">
        <v>0.58899999999999997</v>
      </c>
      <c r="G2456" s="1801">
        <v>20.55</v>
      </c>
      <c r="H2456" s="1802">
        <f t="shared" si="350"/>
        <v>20.55</v>
      </c>
      <c r="I2456" s="1803">
        <f t="shared" si="351"/>
        <v>12.1</v>
      </c>
      <c r="J2456" s="1795"/>
    </row>
    <row r="2457" spans="1:10" ht="24">
      <c r="A2457" s="1797" t="s">
        <v>2476</v>
      </c>
      <c r="B2457" s="1798" t="s">
        <v>7</v>
      </c>
      <c r="C2457" s="1798">
        <v>88262</v>
      </c>
      <c r="D2457" s="1799" t="s">
        <v>441</v>
      </c>
      <c r="E2457" s="1800" t="s">
        <v>411</v>
      </c>
      <c r="F2457" s="1807">
        <v>1.413</v>
      </c>
      <c r="G2457" s="1801">
        <v>24.32</v>
      </c>
      <c r="H2457" s="1802">
        <f t="shared" si="350"/>
        <v>24.32</v>
      </c>
      <c r="I2457" s="1803">
        <f t="shared" si="351"/>
        <v>34.36</v>
      </c>
      <c r="J2457" s="1795"/>
    </row>
    <row r="2458" spans="1:10" ht="36">
      <c r="A2458" s="1797" t="s">
        <v>2476</v>
      </c>
      <c r="B2458" s="1798" t="s">
        <v>7</v>
      </c>
      <c r="C2458" s="1798">
        <v>91692</v>
      </c>
      <c r="D2458" s="1799" t="s">
        <v>2493</v>
      </c>
      <c r="E2458" s="1800" t="s">
        <v>456</v>
      </c>
      <c r="F2458" s="1807">
        <v>1.7999999999999999E-2</v>
      </c>
      <c r="G2458" s="1801">
        <v>20.41</v>
      </c>
      <c r="H2458" s="1802">
        <f t="shared" si="350"/>
        <v>20.3</v>
      </c>
      <c r="I2458" s="1803">
        <f t="shared" si="351"/>
        <v>0.36</v>
      </c>
      <c r="J2458" s="1795"/>
    </row>
    <row r="2459" spans="1:10" ht="36">
      <c r="A2459" s="1797" t="s">
        <v>2476</v>
      </c>
      <c r="B2459" s="1798" t="s">
        <v>7</v>
      </c>
      <c r="C2459" s="1798">
        <v>91693</v>
      </c>
      <c r="D2459" s="1799" t="s">
        <v>2494</v>
      </c>
      <c r="E2459" s="1800" t="s">
        <v>577</v>
      </c>
      <c r="F2459" s="1807">
        <v>1.4E-2</v>
      </c>
      <c r="G2459" s="1801">
        <v>18.84</v>
      </c>
      <c r="H2459" s="1802">
        <f t="shared" si="350"/>
        <v>18.739999999999998</v>
      </c>
      <c r="I2459" s="1803">
        <f t="shared" si="351"/>
        <v>0.26</v>
      </c>
      <c r="J2459" s="1795"/>
    </row>
    <row r="2460" spans="1:10">
      <c r="A2460" s="1943" t="s">
        <v>2477</v>
      </c>
      <c r="B2460" s="1944"/>
      <c r="C2460" s="1944"/>
      <c r="D2460" s="1944"/>
      <c r="E2460" s="1944"/>
      <c r="F2460" s="1944"/>
      <c r="G2460" s="1944"/>
      <c r="H2460" s="1945"/>
      <c r="I2460" s="1805">
        <f>SUM(I2450:I2459)</f>
        <v>87.600000000000009</v>
      </c>
      <c r="J2460" s="1795"/>
    </row>
    <row r="2461" spans="1:10">
      <c r="A2461" s="1929"/>
      <c r="B2461" s="1930"/>
      <c r="C2461" s="1930"/>
      <c r="D2461" s="1930"/>
      <c r="E2461" s="1930"/>
      <c r="F2461" s="1930"/>
      <c r="G2461" s="1930"/>
      <c r="H2461" s="1930"/>
      <c r="I2461" s="1931"/>
      <c r="J2461" s="1795"/>
    </row>
    <row r="2462" spans="1:10" ht="24.75" customHeight="1">
      <c r="A2462" s="1784">
        <f>'PLANILHA SEM DESON'!B388</f>
        <v>101173</v>
      </c>
      <c r="B2462" s="1940" t="str">
        <f>VLOOKUP(A2462,'PLANILHA SEM DESON'!$B$17:$D$1700,2,FALSE)</f>
        <v>ESTACA BROCA DE CONCRETO, DIÂMETRO DE 20CM, ESCAVAÇÃO MANUAL COM TRADO CONCHA, COM ARMADURA DE ARRANQUE. AF_05/2020</v>
      </c>
      <c r="C2462" s="1941"/>
      <c r="D2462" s="1941"/>
      <c r="E2462" s="1941"/>
      <c r="F2462" s="1941"/>
      <c r="G2462" s="1941"/>
      <c r="H2462" s="1942"/>
      <c r="I2462" s="1785" t="str">
        <f>VLOOKUP(A2462,'PLANILHA SEM DESON'!$B$17:$D$1700,3,FALSE)</f>
        <v>m</v>
      </c>
      <c r="J2462" s="1786">
        <f>I2468</f>
        <v>63.91</v>
      </c>
    </row>
    <row r="2463" spans="1:10" ht="24">
      <c r="A2463" s="1788" t="s">
        <v>2470</v>
      </c>
      <c r="B2463" s="1789" t="s">
        <v>2471</v>
      </c>
      <c r="C2463" s="1790" t="s">
        <v>2468</v>
      </c>
      <c r="D2463" s="1791" t="s">
        <v>308</v>
      </c>
      <c r="E2463" s="1790" t="s">
        <v>202</v>
      </c>
      <c r="F2463" s="1792" t="s">
        <v>2472</v>
      </c>
      <c r="G2463" s="1790" t="s">
        <v>2473</v>
      </c>
      <c r="H2463" s="1793" t="s">
        <v>2474</v>
      </c>
      <c r="I2463" s="1794" t="s">
        <v>2475</v>
      </c>
      <c r="J2463" s="1795"/>
    </row>
    <row r="2464" spans="1:10">
      <c r="A2464" s="1797" t="s">
        <v>2476</v>
      </c>
      <c r="B2464" s="1798" t="s">
        <v>7</v>
      </c>
      <c r="C2464" s="1798">
        <v>88309</v>
      </c>
      <c r="D2464" s="1799" t="s">
        <v>103</v>
      </c>
      <c r="E2464" s="1800" t="s">
        <v>411</v>
      </c>
      <c r="F2464" s="1807">
        <v>0.48599999999999999</v>
      </c>
      <c r="G2464" s="1801">
        <v>24.59</v>
      </c>
      <c r="H2464" s="1802">
        <f>IF(E2464="H",G2464,TRUNC(G2464*(1-$K$7),2))</f>
        <v>24.59</v>
      </c>
      <c r="I2464" s="1803">
        <f t="shared" ref="I2464:I2467" si="353">TRUNC(H2464*F2464,2)</f>
        <v>11.95</v>
      </c>
      <c r="J2464" s="1795"/>
    </row>
    <row r="2465" spans="1:10">
      <c r="A2465" s="1797" t="s">
        <v>2476</v>
      </c>
      <c r="B2465" s="1798" t="s">
        <v>7</v>
      </c>
      <c r="C2465" s="1798">
        <v>88316</v>
      </c>
      <c r="D2465" s="1799" t="s">
        <v>66</v>
      </c>
      <c r="E2465" s="1800" t="s">
        <v>411</v>
      </c>
      <c r="F2465" s="1807">
        <v>0.66500000000000004</v>
      </c>
      <c r="G2465" s="1801">
        <v>19.45</v>
      </c>
      <c r="H2465" s="1802">
        <f>IF(E2465="H",G2465,TRUNC(G2465*(1-$K$7),2))</f>
        <v>19.45</v>
      </c>
      <c r="I2465" s="1803">
        <f t="shared" si="353"/>
        <v>12.93</v>
      </c>
      <c r="J2465" s="1795"/>
    </row>
    <row r="2466" spans="1:10" ht="24">
      <c r="A2466" s="1797" t="s">
        <v>2476</v>
      </c>
      <c r="B2466" s="1798" t="s">
        <v>7</v>
      </c>
      <c r="C2466" s="1798">
        <v>92803</v>
      </c>
      <c r="D2466" s="1799" t="s">
        <v>2232</v>
      </c>
      <c r="E2466" s="1800" t="s">
        <v>1184</v>
      </c>
      <c r="F2466" s="1807">
        <v>1.36</v>
      </c>
      <c r="G2466" s="1801">
        <v>12.06</v>
      </c>
      <c r="H2466" s="1802">
        <f>IF(E2466="H",G2466,TRUNC(G2466*(1-$K$7),2))</f>
        <v>11.99</v>
      </c>
      <c r="I2466" s="1803">
        <f t="shared" si="353"/>
        <v>16.3</v>
      </c>
      <c r="J2466" s="1795"/>
    </row>
    <row r="2467" spans="1:10" ht="36">
      <c r="A2467" s="1797" t="s">
        <v>2476</v>
      </c>
      <c r="B2467" s="1798" t="s">
        <v>7</v>
      </c>
      <c r="C2467" s="1798">
        <v>94970</v>
      </c>
      <c r="D2467" s="1799" t="s">
        <v>2655</v>
      </c>
      <c r="E2467" s="1800" t="s">
        <v>1171</v>
      </c>
      <c r="F2467" s="1807">
        <v>4.2999999999999997E-2</v>
      </c>
      <c r="G2467" s="1801">
        <v>531.49</v>
      </c>
      <c r="H2467" s="1802">
        <f>IF(E2467="H",G2467,TRUNC(G2467*(1-$K$7),2))</f>
        <v>528.77</v>
      </c>
      <c r="I2467" s="1803">
        <f t="shared" si="353"/>
        <v>22.73</v>
      </c>
      <c r="J2467" s="1795"/>
    </row>
    <row r="2468" spans="1:10">
      <c r="A2468" s="1943" t="s">
        <v>2477</v>
      </c>
      <c r="B2468" s="1944"/>
      <c r="C2468" s="1944"/>
      <c r="D2468" s="1944"/>
      <c r="E2468" s="1944"/>
      <c r="F2468" s="1944"/>
      <c r="G2468" s="1944"/>
      <c r="H2468" s="1945"/>
      <c r="I2468" s="1805">
        <f>SUM(I2464:I2467)</f>
        <v>63.91</v>
      </c>
      <c r="J2468" s="1795"/>
    </row>
    <row r="2469" spans="1:10">
      <c r="A2469" s="1929"/>
      <c r="B2469" s="1930"/>
      <c r="C2469" s="1930"/>
      <c r="D2469" s="1930"/>
      <c r="E2469" s="1930"/>
      <c r="F2469" s="1930"/>
      <c r="G2469" s="1930"/>
      <c r="H2469" s="1930"/>
      <c r="I2469" s="1931"/>
      <c r="J2469" s="1795"/>
    </row>
    <row r="2470" spans="1:10" ht="31.5" customHeight="1">
      <c r="A2470" s="1784">
        <f>'PLANILHA SEM DESON'!B391</f>
        <v>95583</v>
      </c>
      <c r="B2470" s="1940" t="str">
        <f>VLOOKUP(A2470,'PLANILHA SEM DESON'!$B$17:$D$1700,2,FALSE)</f>
        <v>MONTAGEM DE ARMADURA TRANSVERSAL DE ESTACAS DE SEÇÃO CIRCULAR, DIÂMETRO = 5,0 MM. AF_11/2016</v>
      </c>
      <c r="C2470" s="1941"/>
      <c r="D2470" s="1941"/>
      <c r="E2470" s="1941"/>
      <c r="F2470" s="1941"/>
      <c r="G2470" s="1941"/>
      <c r="H2470" s="1942"/>
      <c r="I2470" s="1785" t="str">
        <f>VLOOKUP(A2470,'PLANILHA SEM DESON'!$B$17:$D$1700,3,FALSE)</f>
        <v>Kg</v>
      </c>
      <c r="J2470" s="1786">
        <f>I2477</f>
        <v>17.700000000000003</v>
      </c>
    </row>
    <row r="2471" spans="1:10" ht="24">
      <c r="A2471" s="1788" t="s">
        <v>2470</v>
      </c>
      <c r="B2471" s="1789" t="s">
        <v>2471</v>
      </c>
      <c r="C2471" s="1790" t="s">
        <v>2468</v>
      </c>
      <c r="D2471" s="1791" t="s">
        <v>308</v>
      </c>
      <c r="E2471" s="1790" t="s">
        <v>202</v>
      </c>
      <c r="F2471" s="1792" t="s">
        <v>2472</v>
      </c>
      <c r="G2471" s="1790" t="s">
        <v>2473</v>
      </c>
      <c r="H2471" s="1793" t="s">
        <v>2474</v>
      </c>
      <c r="I2471" s="1794" t="s">
        <v>2475</v>
      </c>
      <c r="J2471" s="1795"/>
    </row>
    <row r="2472" spans="1:10" ht="36">
      <c r="A2472" s="1797" t="s">
        <v>2476</v>
      </c>
      <c r="B2472" s="1798" t="s">
        <v>2479</v>
      </c>
      <c r="C2472" s="1798">
        <v>39017</v>
      </c>
      <c r="D2472" s="1799" t="s">
        <v>2627</v>
      </c>
      <c r="E2472" s="1800" t="s">
        <v>2501</v>
      </c>
      <c r="F2472" s="1807">
        <v>1.19</v>
      </c>
      <c r="G2472" s="1801">
        <v>0.22</v>
      </c>
      <c r="H2472" s="1802">
        <f>IF(E2472="H",G2472,TRUNC(G2472*(1-$K$7),2))</f>
        <v>0.21</v>
      </c>
      <c r="I2472" s="1803">
        <f t="shared" ref="I2472:I2476" si="354">TRUNC(H2472*F2472,2)</f>
        <v>0.24</v>
      </c>
      <c r="J2472" s="1795"/>
    </row>
    <row r="2473" spans="1:10" ht="24">
      <c r="A2473" s="1797" t="s">
        <v>2476</v>
      </c>
      <c r="B2473" s="1798" t="s">
        <v>2479</v>
      </c>
      <c r="C2473" s="1798">
        <v>43132</v>
      </c>
      <c r="D2473" s="1799" t="s">
        <v>2628</v>
      </c>
      <c r="E2473" s="1800" t="s">
        <v>1383</v>
      </c>
      <c r="F2473" s="1807">
        <v>0.02</v>
      </c>
      <c r="G2473" s="1801">
        <v>24.9</v>
      </c>
      <c r="H2473" s="1802">
        <f>IF(E2473="H",G2473,TRUNC(G2473*(1-$K$7),2))</f>
        <v>24.77</v>
      </c>
      <c r="I2473" s="1803">
        <f t="shared" si="354"/>
        <v>0.49</v>
      </c>
      <c r="J2473" s="1795"/>
    </row>
    <row r="2474" spans="1:10" ht="24">
      <c r="A2474" s="1797" t="s">
        <v>2476</v>
      </c>
      <c r="B2474" s="1798" t="s">
        <v>7</v>
      </c>
      <c r="C2474" s="1798">
        <v>88238</v>
      </c>
      <c r="D2474" s="1799" t="s">
        <v>1212</v>
      </c>
      <c r="E2474" s="1800" t="s">
        <v>411</v>
      </c>
      <c r="F2474" s="1807">
        <v>3.3000000000000002E-2</v>
      </c>
      <c r="G2474" s="1801">
        <v>19.41</v>
      </c>
      <c r="H2474" s="1802">
        <f>IF(E2474="H",G2474,TRUNC(G2474*(1-$K$7),2))</f>
        <v>19.41</v>
      </c>
      <c r="I2474" s="1803">
        <f t="shared" si="354"/>
        <v>0.64</v>
      </c>
      <c r="J2474" s="1795"/>
    </row>
    <row r="2475" spans="1:10">
      <c r="A2475" s="1797" t="s">
        <v>2476</v>
      </c>
      <c r="B2475" s="1798" t="s">
        <v>7</v>
      </c>
      <c r="C2475" s="1798">
        <v>88245</v>
      </c>
      <c r="D2475" s="1799" t="s">
        <v>1213</v>
      </c>
      <c r="E2475" s="1800" t="s">
        <v>411</v>
      </c>
      <c r="F2475" s="1807">
        <v>0.16520000000000001</v>
      </c>
      <c r="G2475" s="1801">
        <v>24.44</v>
      </c>
      <c r="H2475" s="1802">
        <f>IF(E2475="H",G2475,TRUNC(G2475*(1-$K$7),2))</f>
        <v>24.44</v>
      </c>
      <c r="I2475" s="1803">
        <f t="shared" si="354"/>
        <v>4.03</v>
      </c>
      <c r="J2475" s="1795"/>
    </row>
    <row r="2476" spans="1:10" ht="24">
      <c r="A2476" s="1797" t="s">
        <v>2476</v>
      </c>
      <c r="B2476" s="1798" t="s">
        <v>7</v>
      </c>
      <c r="C2476" s="1798">
        <v>92800</v>
      </c>
      <c r="D2476" s="1799" t="s">
        <v>2433</v>
      </c>
      <c r="E2476" s="1800" t="s">
        <v>1184</v>
      </c>
      <c r="F2476" s="1807">
        <v>1</v>
      </c>
      <c r="G2476" s="1801">
        <v>12.37</v>
      </c>
      <c r="H2476" s="1802">
        <f>IF(E2476="H",G2476,TRUNC(G2476*(1-$K$7),2))</f>
        <v>12.3</v>
      </c>
      <c r="I2476" s="1803">
        <f t="shared" si="354"/>
        <v>12.3</v>
      </c>
      <c r="J2476" s="1795"/>
    </row>
    <row r="2477" spans="1:10">
      <c r="A2477" s="1943" t="s">
        <v>2477</v>
      </c>
      <c r="B2477" s="1944"/>
      <c r="C2477" s="1944"/>
      <c r="D2477" s="1944"/>
      <c r="E2477" s="1944"/>
      <c r="F2477" s="1944"/>
      <c r="G2477" s="1944"/>
      <c r="H2477" s="1945"/>
      <c r="I2477" s="1805">
        <f>SUM(I2472:I2476)</f>
        <v>17.700000000000003</v>
      </c>
      <c r="J2477" s="1795"/>
    </row>
    <row r="2478" spans="1:10">
      <c r="A2478" s="1929"/>
      <c r="B2478" s="1930"/>
      <c r="C2478" s="1930"/>
      <c r="D2478" s="1930"/>
      <c r="E2478" s="1930"/>
      <c r="F2478" s="1930"/>
      <c r="G2478" s="1930"/>
      <c r="H2478" s="1930"/>
      <c r="I2478" s="1931"/>
      <c r="J2478" s="1795"/>
    </row>
    <row r="2479" spans="1:10" ht="30" customHeight="1">
      <c r="A2479" s="1784">
        <f>'PLANILHA SEM DESON'!B392</f>
        <v>95577</v>
      </c>
      <c r="B2479" s="1940" t="str">
        <f>VLOOKUP(A2479,'PLANILHA SEM DESON'!$B$17:$D$1700,2,FALSE)</f>
        <v>MONTAGEM DE ARMADURA LONGITUDINAL DE ESTACAS DE SEÇÃO CIRCULAR, DIÂMETRO = 10,0 MM. AF_11/2016</v>
      </c>
      <c r="C2479" s="1941"/>
      <c r="D2479" s="1941"/>
      <c r="E2479" s="1941"/>
      <c r="F2479" s="1941"/>
      <c r="G2479" s="1941"/>
      <c r="H2479" s="1942"/>
      <c r="I2479" s="1785" t="str">
        <f>VLOOKUP(A2479,'PLANILHA SEM DESON'!$B$17:$D$1700,3,FALSE)</f>
        <v>Kg</v>
      </c>
      <c r="J2479" s="1786">
        <f>I2486</f>
        <v>13.44</v>
      </c>
    </row>
    <row r="2480" spans="1:10" ht="24">
      <c r="A2480" s="1788" t="s">
        <v>2470</v>
      </c>
      <c r="B2480" s="1789" t="s">
        <v>2471</v>
      </c>
      <c r="C2480" s="1790" t="s">
        <v>2468</v>
      </c>
      <c r="D2480" s="1791" t="s">
        <v>308</v>
      </c>
      <c r="E2480" s="1790" t="s">
        <v>202</v>
      </c>
      <c r="F2480" s="1792" t="s">
        <v>2472</v>
      </c>
      <c r="G2480" s="1790" t="s">
        <v>2473</v>
      </c>
      <c r="H2480" s="1793" t="s">
        <v>2474</v>
      </c>
      <c r="I2480" s="1794" t="s">
        <v>2475</v>
      </c>
      <c r="J2480" s="1795"/>
    </row>
    <row r="2481" spans="1:10" ht="36">
      <c r="A2481" s="1797" t="s">
        <v>2476</v>
      </c>
      <c r="B2481" s="1798" t="s">
        <v>2479</v>
      </c>
      <c r="C2481" s="1798">
        <v>39017</v>
      </c>
      <c r="D2481" s="1799" t="s">
        <v>2627</v>
      </c>
      <c r="E2481" s="1800" t="s">
        <v>2501</v>
      </c>
      <c r="F2481" s="1807">
        <v>0.54300000000000004</v>
      </c>
      <c r="G2481" s="1801">
        <v>0.22</v>
      </c>
      <c r="H2481" s="1802">
        <f>IF(E2481="H",G2481,TRUNC(G2481*(1-$K$7),2))</f>
        <v>0.21</v>
      </c>
      <c r="I2481" s="1803">
        <f t="shared" ref="I2481:I2485" si="355">TRUNC(H2481*F2481,2)</f>
        <v>0.11</v>
      </c>
      <c r="J2481" s="1795"/>
    </row>
    <row r="2482" spans="1:10" ht="24">
      <c r="A2482" s="1797" t="s">
        <v>2476</v>
      </c>
      <c r="B2482" s="1798" t="s">
        <v>2479</v>
      </c>
      <c r="C2482" s="1798">
        <v>43132</v>
      </c>
      <c r="D2482" s="1799" t="s">
        <v>2628</v>
      </c>
      <c r="E2482" s="1800" t="s">
        <v>1383</v>
      </c>
      <c r="F2482" s="1807">
        <v>0.02</v>
      </c>
      <c r="G2482" s="1801">
        <v>24.9</v>
      </c>
      <c r="H2482" s="1802">
        <f>IF(E2482="H",G2482,TRUNC(G2482*(1-$K$7),2))</f>
        <v>24.77</v>
      </c>
      <c r="I2482" s="1803">
        <f t="shared" si="355"/>
        <v>0.49</v>
      </c>
      <c r="J2482" s="1795"/>
    </row>
    <row r="2483" spans="1:10" ht="24">
      <c r="A2483" s="1797" t="s">
        <v>2476</v>
      </c>
      <c r="B2483" s="1798" t="s">
        <v>7</v>
      </c>
      <c r="C2483" s="1798">
        <v>88238</v>
      </c>
      <c r="D2483" s="1799" t="s">
        <v>1212</v>
      </c>
      <c r="E2483" s="1800" t="s">
        <v>411</v>
      </c>
      <c r="F2483" s="1807">
        <v>6.1000000000000004E-3</v>
      </c>
      <c r="G2483" s="1801">
        <v>19.41</v>
      </c>
      <c r="H2483" s="1802">
        <f>IF(E2483="H",G2483,TRUNC(G2483*(1-$K$7),2))</f>
        <v>19.41</v>
      </c>
      <c r="I2483" s="1803">
        <f t="shared" si="355"/>
        <v>0.11</v>
      </c>
      <c r="J2483" s="1795"/>
    </row>
    <row r="2484" spans="1:10">
      <c r="A2484" s="1797" t="s">
        <v>2476</v>
      </c>
      <c r="B2484" s="1798" t="s">
        <v>7</v>
      </c>
      <c r="C2484" s="1798">
        <v>88245</v>
      </c>
      <c r="D2484" s="1799" t="s">
        <v>1213</v>
      </c>
      <c r="E2484" s="1800" t="s">
        <v>411</v>
      </c>
      <c r="F2484" s="1807">
        <v>3.0599999999999999E-2</v>
      </c>
      <c r="G2484" s="1801">
        <v>24.44</v>
      </c>
      <c r="H2484" s="1802">
        <f>IF(E2484="H",G2484,TRUNC(G2484*(1-$K$7),2))</f>
        <v>24.44</v>
      </c>
      <c r="I2484" s="1803">
        <f t="shared" si="355"/>
        <v>0.74</v>
      </c>
      <c r="J2484" s="1795"/>
    </row>
    <row r="2485" spans="1:10" ht="24">
      <c r="A2485" s="1797" t="s">
        <v>2476</v>
      </c>
      <c r="B2485" s="1798" t="s">
        <v>7</v>
      </c>
      <c r="C2485" s="1798">
        <v>92803</v>
      </c>
      <c r="D2485" s="1799" t="s">
        <v>2232</v>
      </c>
      <c r="E2485" s="1800" t="s">
        <v>1184</v>
      </c>
      <c r="F2485" s="1807">
        <v>1</v>
      </c>
      <c r="G2485" s="1801">
        <v>12.06</v>
      </c>
      <c r="H2485" s="1802">
        <f>IF(E2485="H",G2485,TRUNC(G2485*(1-$K$7),2))</f>
        <v>11.99</v>
      </c>
      <c r="I2485" s="1803">
        <f t="shared" si="355"/>
        <v>11.99</v>
      </c>
      <c r="J2485" s="1795"/>
    </row>
    <row r="2486" spans="1:10">
      <c r="A2486" s="1943" t="s">
        <v>2477</v>
      </c>
      <c r="B2486" s="1944"/>
      <c r="C2486" s="1944"/>
      <c r="D2486" s="1944"/>
      <c r="E2486" s="1944"/>
      <c r="F2486" s="1944"/>
      <c r="G2486" s="1944"/>
      <c r="H2486" s="1945"/>
      <c r="I2486" s="1805">
        <f>SUM(I2481:I2485)</f>
        <v>13.44</v>
      </c>
      <c r="J2486" s="1795"/>
    </row>
    <row r="2487" spans="1:10">
      <c r="A2487" s="1929"/>
      <c r="B2487" s="1930"/>
      <c r="C2487" s="1930"/>
      <c r="D2487" s="1930"/>
      <c r="E2487" s="1930"/>
      <c r="F2487" s="1930"/>
      <c r="G2487" s="1930"/>
      <c r="H2487" s="1930"/>
      <c r="I2487" s="1931"/>
      <c r="J2487" s="1795"/>
    </row>
    <row r="2488" spans="1:10" ht="34.5" customHeight="1">
      <c r="A2488" s="1784">
        <f>'PLANILHA SEM DESON'!B394</f>
        <v>92427</v>
      </c>
      <c r="B2488" s="1940" t="str">
        <f>VLOOKUP(A2488,'PLANILHA SEM DESON'!$B$17:$D$1700,2,FALSE)</f>
        <v>MONTAGEM E DESMONTAGEM DE FÔRMA DE PILARES RETANGULARES E ESTRUTURAS SIMILARES COM ÁREA MÉDIA DAS SEÇÕES MAIOR QUE 0,25 M², PÉ-DIREITO SIMPLES,  EM CHAPA DE MADEIRA COMPENSADA RESINADA, 8 UTILIZAÇÕES. AF_12/2015</v>
      </c>
      <c r="C2488" s="1941"/>
      <c r="D2488" s="1941"/>
      <c r="E2488" s="1941"/>
      <c r="F2488" s="1941"/>
      <c r="G2488" s="1941"/>
      <c r="H2488" s="1942"/>
      <c r="I2488" s="1785" t="str">
        <f>VLOOKUP(A2488,'PLANILHA SEM DESON'!$B$17:$D$1700,3,FALSE)</f>
        <v>m²</v>
      </c>
      <c r="J2488" s="1786">
        <f>I2498</f>
        <v>69.349999999999994</v>
      </c>
    </row>
    <row r="2489" spans="1:10" ht="24">
      <c r="A2489" s="1788" t="s">
        <v>2470</v>
      </c>
      <c r="B2489" s="1789" t="s">
        <v>2471</v>
      </c>
      <c r="C2489" s="1790" t="s">
        <v>2468</v>
      </c>
      <c r="D2489" s="1791" t="s">
        <v>308</v>
      </c>
      <c r="E2489" s="1790" t="s">
        <v>202</v>
      </c>
      <c r="F2489" s="1792" t="s">
        <v>2472</v>
      </c>
      <c r="G2489" s="1790" t="s">
        <v>2473</v>
      </c>
      <c r="H2489" s="1793" t="s">
        <v>2474</v>
      </c>
      <c r="I2489" s="1794" t="s">
        <v>2475</v>
      </c>
      <c r="J2489" s="1795"/>
    </row>
    <row r="2490" spans="1:10" ht="24">
      <c r="A2490" s="1797" t="s">
        <v>2476</v>
      </c>
      <c r="B2490" s="1798" t="s">
        <v>2479</v>
      </c>
      <c r="C2490" s="1798">
        <v>2692</v>
      </c>
      <c r="D2490" s="1799" t="s">
        <v>1730</v>
      </c>
      <c r="E2490" s="1800" t="s">
        <v>455</v>
      </c>
      <c r="F2490" s="1807">
        <v>0.01</v>
      </c>
      <c r="G2490" s="1801">
        <v>8.84</v>
      </c>
      <c r="H2490" s="1802">
        <f t="shared" ref="H2490:H2497" si="356">IF(E2490="H",G2490,TRUNC(G2490*(1-$K$7),2))</f>
        <v>8.7899999999999991</v>
      </c>
      <c r="I2490" s="1803">
        <f t="shared" ref="I2490:I2497" si="357">TRUNC(H2490*F2490,2)</f>
        <v>0.08</v>
      </c>
      <c r="J2490" s="1795"/>
    </row>
    <row r="2491" spans="1:10" ht="36">
      <c r="A2491" s="1797" t="s">
        <v>2476</v>
      </c>
      <c r="B2491" s="1798" t="s">
        <v>2479</v>
      </c>
      <c r="C2491" s="1798">
        <v>40271</v>
      </c>
      <c r="D2491" s="1799" t="s">
        <v>2636</v>
      </c>
      <c r="E2491" s="1800" t="s">
        <v>2632</v>
      </c>
      <c r="F2491" s="1807">
        <v>0.19600000000000001</v>
      </c>
      <c r="G2491" s="1801">
        <v>15.6</v>
      </c>
      <c r="H2491" s="1802">
        <f t="shared" si="356"/>
        <v>15.52</v>
      </c>
      <c r="I2491" s="1803">
        <f t="shared" si="357"/>
        <v>3.04</v>
      </c>
      <c r="J2491" s="1795"/>
    </row>
    <row r="2492" spans="1:10" ht="36">
      <c r="A2492" s="1797" t="s">
        <v>2476</v>
      </c>
      <c r="B2492" s="1798" t="s">
        <v>2479</v>
      </c>
      <c r="C2492" s="1798">
        <v>40275</v>
      </c>
      <c r="D2492" s="1799" t="s">
        <v>2637</v>
      </c>
      <c r="E2492" s="1800" t="s">
        <v>2632</v>
      </c>
      <c r="F2492" s="1807">
        <v>0.39300000000000002</v>
      </c>
      <c r="G2492" s="1801">
        <v>24</v>
      </c>
      <c r="H2492" s="1802">
        <f t="shared" si="356"/>
        <v>23.87</v>
      </c>
      <c r="I2492" s="1803">
        <f t="shared" si="357"/>
        <v>9.3800000000000008</v>
      </c>
      <c r="J2492" s="1795"/>
    </row>
    <row r="2493" spans="1:10" ht="36">
      <c r="A2493" s="1797" t="s">
        <v>2476</v>
      </c>
      <c r="B2493" s="1798" t="s">
        <v>2479</v>
      </c>
      <c r="C2493" s="1798">
        <v>40287</v>
      </c>
      <c r="D2493" s="1799" t="s">
        <v>2638</v>
      </c>
      <c r="E2493" s="1800" t="s">
        <v>2632</v>
      </c>
      <c r="F2493" s="1807">
        <v>0.78500000000000003</v>
      </c>
      <c r="G2493" s="1801">
        <v>6</v>
      </c>
      <c r="H2493" s="1802">
        <f t="shared" si="356"/>
        <v>5.96</v>
      </c>
      <c r="I2493" s="1803">
        <f t="shared" ref="I2493" si="358">TRUNC(H2493*F2493,2)</f>
        <v>4.67</v>
      </c>
      <c r="J2493" s="1795"/>
    </row>
    <row r="2494" spans="1:10" ht="24">
      <c r="A2494" s="1797" t="s">
        <v>2476</v>
      </c>
      <c r="B2494" s="1798" t="s">
        <v>2479</v>
      </c>
      <c r="C2494" s="1798">
        <v>40304</v>
      </c>
      <c r="D2494" s="1799" t="s">
        <v>2618</v>
      </c>
      <c r="E2494" s="1800" t="s">
        <v>1184</v>
      </c>
      <c r="F2494" s="1807">
        <v>1.9E-2</v>
      </c>
      <c r="G2494" s="1801">
        <v>31.95</v>
      </c>
      <c r="H2494" s="1802">
        <f t="shared" si="356"/>
        <v>31.78</v>
      </c>
      <c r="I2494" s="1803">
        <f t="shared" si="357"/>
        <v>0.6</v>
      </c>
      <c r="J2494" s="1795"/>
    </row>
    <row r="2495" spans="1:10" ht="24">
      <c r="A2495" s="1797" t="s">
        <v>2476</v>
      </c>
      <c r="B2495" s="1798" t="s">
        <v>7</v>
      </c>
      <c r="C2495" s="1798">
        <v>88239</v>
      </c>
      <c r="D2495" s="1799" t="s">
        <v>454</v>
      </c>
      <c r="E2495" s="1800" t="s">
        <v>411</v>
      </c>
      <c r="F2495" s="1807">
        <v>0.127</v>
      </c>
      <c r="G2495" s="1801">
        <v>20.55</v>
      </c>
      <c r="H2495" s="1802">
        <f t="shared" si="356"/>
        <v>20.55</v>
      </c>
      <c r="I2495" s="1803">
        <f t="shared" si="357"/>
        <v>2.6</v>
      </c>
      <c r="J2495" s="1795"/>
    </row>
    <row r="2496" spans="1:10" ht="24">
      <c r="A2496" s="1797" t="s">
        <v>2476</v>
      </c>
      <c r="B2496" s="1798" t="s">
        <v>7</v>
      </c>
      <c r="C2496" s="1798">
        <v>88262</v>
      </c>
      <c r="D2496" s="1799" t="s">
        <v>441</v>
      </c>
      <c r="E2496" s="1800" t="s">
        <v>411</v>
      </c>
      <c r="F2496" s="1807">
        <v>0.69499999999999995</v>
      </c>
      <c r="G2496" s="1801">
        <v>24.32</v>
      </c>
      <c r="H2496" s="1802">
        <f t="shared" si="356"/>
        <v>24.32</v>
      </c>
      <c r="I2496" s="1803">
        <f t="shared" si="357"/>
        <v>16.899999999999999</v>
      </c>
      <c r="J2496" s="1795"/>
    </row>
    <row r="2497" spans="1:10" ht="36">
      <c r="A2497" s="1797" t="s">
        <v>2476</v>
      </c>
      <c r="B2497" s="1798" t="s">
        <v>7</v>
      </c>
      <c r="C2497" s="1798">
        <v>92263</v>
      </c>
      <c r="D2497" s="1799" t="s">
        <v>2823</v>
      </c>
      <c r="E2497" s="1800" t="s">
        <v>1176</v>
      </c>
      <c r="F2497" s="1807">
        <v>0.15</v>
      </c>
      <c r="G2497" s="1801">
        <v>215.01</v>
      </c>
      <c r="H2497" s="1802">
        <f t="shared" si="356"/>
        <v>213.91</v>
      </c>
      <c r="I2497" s="1803">
        <f t="shared" si="357"/>
        <v>32.08</v>
      </c>
      <c r="J2497" s="1795"/>
    </row>
    <row r="2498" spans="1:10">
      <c r="A2498" s="1943" t="s">
        <v>2477</v>
      </c>
      <c r="B2498" s="1944"/>
      <c r="C2498" s="1944"/>
      <c r="D2498" s="1944"/>
      <c r="E2498" s="1944"/>
      <c r="F2498" s="1944"/>
      <c r="G2498" s="1944"/>
      <c r="H2498" s="1945"/>
      <c r="I2498" s="1805">
        <f>SUM(I2490:I2497)</f>
        <v>69.349999999999994</v>
      </c>
      <c r="J2498" s="1795"/>
    </row>
    <row r="2499" spans="1:10">
      <c r="A2499" s="1929"/>
      <c r="B2499" s="1930"/>
      <c r="C2499" s="1930"/>
      <c r="D2499" s="1930"/>
      <c r="E2499" s="1930"/>
      <c r="F2499" s="1930"/>
      <c r="G2499" s="1930"/>
      <c r="H2499" s="1930"/>
      <c r="I2499" s="1931"/>
      <c r="J2499" s="1795"/>
    </row>
    <row r="2500" spans="1:10" ht="24" customHeight="1">
      <c r="A2500" s="1784">
        <f>'PLANILHA SEM DESON'!B397</f>
        <v>104111</v>
      </c>
      <c r="B2500" s="1940" t="str">
        <f>VLOOKUP(A2500,'PLANILHA SEM DESON'!$B$17:$D$1700,2,FALSE)</f>
        <v>ARMAÇÃO DE PILAR OU VIGA DE ESTRUTURA DE CONCRETO ARMADO EMBUTIDA EM ALVENARIA DE VEDAÇÃO UTILIZANDO AÇO CA-60 DE 5,0 MM - MONTAGEM. AF_06/2022</v>
      </c>
      <c r="C2500" s="1941"/>
      <c r="D2500" s="1941"/>
      <c r="E2500" s="1941"/>
      <c r="F2500" s="1941"/>
      <c r="G2500" s="1941"/>
      <c r="H2500" s="1942"/>
      <c r="I2500" s="1785" t="str">
        <f>VLOOKUP(A2500,'PLANILHA SEM DESON'!$B$17:$D$1700,3,FALSE)</f>
        <v>Kg</v>
      </c>
      <c r="J2500" s="1786">
        <f>I2507</f>
        <v>21.69</v>
      </c>
    </row>
    <row r="2501" spans="1:10" ht="24">
      <c r="A2501" s="1788" t="s">
        <v>2470</v>
      </c>
      <c r="B2501" s="1789" t="s">
        <v>2471</v>
      </c>
      <c r="C2501" s="1790" t="s">
        <v>2468</v>
      </c>
      <c r="D2501" s="1791" t="s">
        <v>308</v>
      </c>
      <c r="E2501" s="1790" t="s">
        <v>202</v>
      </c>
      <c r="F2501" s="1792" t="s">
        <v>2472</v>
      </c>
      <c r="G2501" s="1790" t="s">
        <v>2473</v>
      </c>
      <c r="H2501" s="1793" t="s">
        <v>2474</v>
      </c>
      <c r="I2501" s="1794" t="s">
        <v>2475</v>
      </c>
      <c r="J2501" s="1795"/>
    </row>
    <row r="2502" spans="1:10" ht="36">
      <c r="A2502" s="1797" t="s">
        <v>2476</v>
      </c>
      <c r="B2502" s="1798" t="s">
        <v>2479</v>
      </c>
      <c r="C2502" s="1798">
        <v>39017</v>
      </c>
      <c r="D2502" s="1799" t="s">
        <v>2627</v>
      </c>
      <c r="E2502" s="1800" t="s">
        <v>2501</v>
      </c>
      <c r="F2502" s="1807">
        <v>1.19</v>
      </c>
      <c r="G2502" s="1801">
        <v>0.22</v>
      </c>
      <c r="H2502" s="1802">
        <f>IF(E2502="H",G2502,TRUNC(G2502*(1-$K$7),2))</f>
        <v>0.21</v>
      </c>
      <c r="I2502" s="1803">
        <f t="shared" ref="I2502:I2506" si="359">TRUNC(H2502*F2502,2)</f>
        <v>0.24</v>
      </c>
      <c r="J2502" s="1795"/>
    </row>
    <row r="2503" spans="1:10" ht="24">
      <c r="A2503" s="1797" t="s">
        <v>2476</v>
      </c>
      <c r="B2503" s="1798" t="s">
        <v>2479</v>
      </c>
      <c r="C2503" s="1798">
        <v>43132</v>
      </c>
      <c r="D2503" s="1799" t="s">
        <v>2628</v>
      </c>
      <c r="E2503" s="1800" t="s">
        <v>1383</v>
      </c>
      <c r="F2503" s="1807">
        <v>2.5000000000000001E-2</v>
      </c>
      <c r="G2503" s="1801">
        <v>24.9</v>
      </c>
      <c r="H2503" s="1802">
        <f>IF(E2503="H",G2503,TRUNC(G2503*(1-$K$7),2))</f>
        <v>24.77</v>
      </c>
      <c r="I2503" s="1803">
        <f t="shared" si="359"/>
        <v>0.61</v>
      </c>
      <c r="J2503" s="1795"/>
    </row>
    <row r="2504" spans="1:10" ht="24">
      <c r="A2504" s="1797" t="s">
        <v>2476</v>
      </c>
      <c r="B2504" s="1798" t="s">
        <v>7</v>
      </c>
      <c r="C2504" s="1798">
        <v>88238</v>
      </c>
      <c r="D2504" s="1799" t="s">
        <v>1212</v>
      </c>
      <c r="E2504" s="1800" t="s">
        <v>411</v>
      </c>
      <c r="F2504" s="1807">
        <v>5.0500000000000003E-2</v>
      </c>
      <c r="G2504" s="1801">
        <v>19.41</v>
      </c>
      <c r="H2504" s="1802">
        <f>IF(E2504="H",G2504,TRUNC(G2504*(1-$K$7),2))</f>
        <v>19.41</v>
      </c>
      <c r="I2504" s="1803">
        <f t="shared" si="359"/>
        <v>0.98</v>
      </c>
      <c r="J2504" s="1795"/>
    </row>
    <row r="2505" spans="1:10">
      <c r="A2505" s="1797" t="s">
        <v>2476</v>
      </c>
      <c r="B2505" s="1798" t="s">
        <v>7</v>
      </c>
      <c r="C2505" s="1798">
        <v>88245</v>
      </c>
      <c r="D2505" s="1799" t="s">
        <v>1213</v>
      </c>
      <c r="E2505" s="1800" t="s">
        <v>411</v>
      </c>
      <c r="F2505" s="1807">
        <v>0.30940000000000001</v>
      </c>
      <c r="G2505" s="1801">
        <v>24.44</v>
      </c>
      <c r="H2505" s="1802">
        <f>IF(E2505="H",G2505,TRUNC(G2505*(1-$K$7),2))</f>
        <v>24.44</v>
      </c>
      <c r="I2505" s="1803">
        <f t="shared" si="359"/>
        <v>7.56</v>
      </c>
      <c r="J2505" s="1795"/>
    </row>
    <row r="2506" spans="1:10" ht="24">
      <c r="A2506" s="1797" t="s">
        <v>2476</v>
      </c>
      <c r="B2506" s="1798" t="s">
        <v>7</v>
      </c>
      <c r="C2506" s="1798">
        <v>92800</v>
      </c>
      <c r="D2506" s="1799" t="s">
        <v>2433</v>
      </c>
      <c r="E2506" s="1800" t="s">
        <v>1184</v>
      </c>
      <c r="F2506" s="1807">
        <v>1</v>
      </c>
      <c r="G2506" s="1801">
        <v>12.37</v>
      </c>
      <c r="H2506" s="1802">
        <f>IF(E2506="H",G2506,TRUNC(G2506*(1-$K$7),2))</f>
        <v>12.3</v>
      </c>
      <c r="I2506" s="1803">
        <f t="shared" si="359"/>
        <v>12.3</v>
      </c>
      <c r="J2506" s="1795"/>
    </row>
    <row r="2507" spans="1:10">
      <c r="A2507" s="1943" t="s">
        <v>2477</v>
      </c>
      <c r="B2507" s="1944"/>
      <c r="C2507" s="1944"/>
      <c r="D2507" s="1944"/>
      <c r="E2507" s="1944"/>
      <c r="F2507" s="1944"/>
      <c r="G2507" s="1944"/>
      <c r="H2507" s="1945"/>
      <c r="I2507" s="1805">
        <f>SUM(I2502:I2506)</f>
        <v>21.69</v>
      </c>
      <c r="J2507" s="1795"/>
    </row>
    <row r="2508" spans="1:10">
      <c r="A2508" s="1929"/>
      <c r="B2508" s="1930"/>
      <c r="C2508" s="1930"/>
      <c r="D2508" s="1930"/>
      <c r="E2508" s="1930"/>
      <c r="F2508" s="1930"/>
      <c r="G2508" s="1930"/>
      <c r="H2508" s="1930"/>
      <c r="I2508" s="1931"/>
      <c r="J2508" s="1795"/>
    </row>
    <row r="2509" spans="1:10" ht="27.75" customHeight="1">
      <c r="A2509" s="1784">
        <f>'PLANILHA SEM DESON'!B401</f>
        <v>87894</v>
      </c>
      <c r="B2509" s="1940" t="str">
        <f>VLOOKUP(A2509,'PLANILHA SEM DESON'!$B$17:$D$1700,2,FALSE)</f>
        <v>CHAPISCO APLICADO EM ALVENARIA (SEM PRESENÇA DE VÃOS) E ESTRUTURAS DE CONCRETO DE FACHADA, COM COLHER DE PEDREIRO. ARGAMASSA TRAÇO 1:3 COM PREPARO EM BETONEIRA 400L. AF_06/2014</v>
      </c>
      <c r="C2509" s="1941"/>
      <c r="D2509" s="1941"/>
      <c r="E2509" s="1941"/>
      <c r="F2509" s="1941"/>
      <c r="G2509" s="1941"/>
      <c r="H2509" s="1942"/>
      <c r="I2509" s="1785" t="str">
        <f>VLOOKUP(A2509,'PLANILHA SEM DESON'!$B$17:$D$1700,3,FALSE)</f>
        <v>m²</v>
      </c>
      <c r="J2509" s="1786">
        <f>I2514</f>
        <v>6.53</v>
      </c>
    </row>
    <row r="2510" spans="1:10" ht="24">
      <c r="A2510" s="1788" t="s">
        <v>2470</v>
      </c>
      <c r="B2510" s="1789" t="s">
        <v>2471</v>
      </c>
      <c r="C2510" s="1790" t="s">
        <v>2468</v>
      </c>
      <c r="D2510" s="1791" t="s">
        <v>308</v>
      </c>
      <c r="E2510" s="1790" t="s">
        <v>202</v>
      </c>
      <c r="F2510" s="1792" t="s">
        <v>2472</v>
      </c>
      <c r="G2510" s="1790" t="s">
        <v>2473</v>
      </c>
      <c r="H2510" s="1793" t="s">
        <v>2474</v>
      </c>
      <c r="I2510" s="1794" t="s">
        <v>2475</v>
      </c>
      <c r="J2510" s="1795"/>
    </row>
    <row r="2511" spans="1:10" ht="48">
      <c r="A2511" s="1797" t="s">
        <v>2476</v>
      </c>
      <c r="B2511" s="1798" t="s">
        <v>7</v>
      </c>
      <c r="C2511" s="1798">
        <v>87313</v>
      </c>
      <c r="D2511" s="1799" t="s">
        <v>2662</v>
      </c>
      <c r="E2511" s="1800" t="s">
        <v>1171</v>
      </c>
      <c r="F2511" s="1807">
        <v>3.7000000000000002E-3</v>
      </c>
      <c r="G2511" s="1801">
        <v>601.51</v>
      </c>
      <c r="H2511" s="1802">
        <f>IF(E2511="H",G2511,TRUNC(G2511*(1-$K$7),2))</f>
        <v>598.44000000000005</v>
      </c>
      <c r="I2511" s="1803">
        <f t="shared" ref="I2511:I2513" si="360">TRUNC(H2511*F2511,2)</f>
        <v>2.21</v>
      </c>
      <c r="J2511" s="1795"/>
    </row>
    <row r="2512" spans="1:10">
      <c r="A2512" s="1797" t="s">
        <v>2476</v>
      </c>
      <c r="B2512" s="1798" t="s">
        <v>7</v>
      </c>
      <c r="C2512" s="1798">
        <v>88309</v>
      </c>
      <c r="D2512" s="1799" t="s">
        <v>103</v>
      </c>
      <c r="E2512" s="1800" t="s">
        <v>411</v>
      </c>
      <c r="F2512" s="1807">
        <v>0.1394</v>
      </c>
      <c r="G2512" s="1801">
        <v>24.59</v>
      </c>
      <c r="H2512" s="1802">
        <f>IF(E2512="H",G2512,TRUNC(G2512*(1-$K$7),2))</f>
        <v>24.59</v>
      </c>
      <c r="I2512" s="1803">
        <f t="shared" si="360"/>
        <v>3.42</v>
      </c>
      <c r="J2512" s="1795"/>
    </row>
    <row r="2513" spans="1:10">
      <c r="A2513" s="1797" t="s">
        <v>2476</v>
      </c>
      <c r="B2513" s="1798" t="s">
        <v>7</v>
      </c>
      <c r="C2513" s="1798">
        <v>88316</v>
      </c>
      <c r="D2513" s="1799" t="s">
        <v>66</v>
      </c>
      <c r="E2513" s="1800" t="s">
        <v>411</v>
      </c>
      <c r="F2513" s="1807">
        <v>4.65E-2</v>
      </c>
      <c r="G2513" s="1801">
        <v>19.45</v>
      </c>
      <c r="H2513" s="1802">
        <f>IF(E2513="H",G2513,TRUNC(G2513*(1-$K$7),2))</f>
        <v>19.45</v>
      </c>
      <c r="I2513" s="1803">
        <f t="shared" si="360"/>
        <v>0.9</v>
      </c>
      <c r="J2513" s="1795"/>
    </row>
    <row r="2514" spans="1:10">
      <c r="A2514" s="1943" t="s">
        <v>2477</v>
      </c>
      <c r="B2514" s="1944"/>
      <c r="C2514" s="1944"/>
      <c r="D2514" s="1944"/>
      <c r="E2514" s="1944"/>
      <c r="F2514" s="1944"/>
      <c r="G2514" s="1944"/>
      <c r="H2514" s="1945"/>
      <c r="I2514" s="1805">
        <f>SUM(I2511:I2513)</f>
        <v>6.53</v>
      </c>
      <c r="J2514" s="1795"/>
    </row>
    <row r="2515" spans="1:10">
      <c r="A2515" s="1929"/>
      <c r="B2515" s="1930"/>
      <c r="C2515" s="1930"/>
      <c r="D2515" s="1930"/>
      <c r="E2515" s="1930"/>
      <c r="F2515" s="1930"/>
      <c r="G2515" s="1930"/>
      <c r="H2515" s="1930"/>
      <c r="I2515" s="1931"/>
      <c r="J2515" s="1795"/>
    </row>
    <row r="2516" spans="1:10" ht="33" customHeight="1">
      <c r="A2516" s="1784">
        <f>'PLANILHA SEM DESON'!B402</f>
        <v>87792</v>
      </c>
      <c r="B2516" s="1940" t="str">
        <f>VLOOKUP(A2516,'PLANILHA SEM DESON'!$B$17:$D$1700,2,FALSE)</f>
        <v>EMBOÇO OU MASSA ÚNICA EM ARGAMASSA TRAÇO 1:2:8, PREPARO MANUAL, APLICADA MANUALMENTE EM PANOS CEGOS DE FACHADA (SEM PRESENÇA DE VÃOS), ESPESSURA DE 25 MM. AF_06/2014</v>
      </c>
      <c r="C2516" s="1941"/>
      <c r="D2516" s="1941"/>
      <c r="E2516" s="1941"/>
      <c r="F2516" s="1941"/>
      <c r="G2516" s="1941"/>
      <c r="H2516" s="1942"/>
      <c r="I2516" s="1785" t="str">
        <f>VLOOKUP(A2516,'PLANILHA SEM DESON'!$B$17:$D$1700,3,FALSE)</f>
        <v>m²</v>
      </c>
      <c r="J2516" s="1786">
        <f>I2522</f>
        <v>39.06</v>
      </c>
    </row>
    <row r="2517" spans="1:10" ht="24">
      <c r="A2517" s="1788" t="s">
        <v>2470</v>
      </c>
      <c r="B2517" s="1789" t="s">
        <v>2471</v>
      </c>
      <c r="C2517" s="1790" t="s">
        <v>2468</v>
      </c>
      <c r="D2517" s="1791" t="s">
        <v>308</v>
      </c>
      <c r="E2517" s="1790" t="s">
        <v>202</v>
      </c>
      <c r="F2517" s="1792" t="s">
        <v>2472</v>
      </c>
      <c r="G2517" s="1790" t="s">
        <v>2473</v>
      </c>
      <c r="H2517" s="1793" t="s">
        <v>2474</v>
      </c>
      <c r="I2517" s="1794" t="s">
        <v>2475</v>
      </c>
      <c r="J2517" s="1795"/>
    </row>
    <row r="2518" spans="1:10" ht="24">
      <c r="A2518" s="1797" t="s">
        <v>2476</v>
      </c>
      <c r="B2518" s="1798" t="s">
        <v>2479</v>
      </c>
      <c r="C2518" s="1798">
        <v>37411</v>
      </c>
      <c r="D2518" s="1799" t="s">
        <v>2824</v>
      </c>
      <c r="E2518" s="1800" t="s">
        <v>1176</v>
      </c>
      <c r="F2518" s="1807">
        <v>0.15809999999999999</v>
      </c>
      <c r="G2518" s="1801">
        <v>26.78</v>
      </c>
      <c r="H2518" s="1802">
        <f>IF(E2518="H",G2518,TRUNC(G2518*(1-$K$7),2))</f>
        <v>26.64</v>
      </c>
      <c r="I2518" s="1803">
        <f t="shared" ref="I2518:I2521" si="361">TRUNC(H2518*F2518,2)</f>
        <v>4.21</v>
      </c>
      <c r="J2518" s="1795"/>
    </row>
    <row r="2519" spans="1:10" ht="60">
      <c r="A2519" s="1797" t="s">
        <v>2476</v>
      </c>
      <c r="B2519" s="1798" t="s">
        <v>7</v>
      </c>
      <c r="C2519" s="1798">
        <v>87292</v>
      </c>
      <c r="D2519" s="1799" t="s">
        <v>2648</v>
      </c>
      <c r="E2519" s="1800" t="s">
        <v>1171</v>
      </c>
      <c r="F2519" s="1807">
        <v>2.93E-2</v>
      </c>
      <c r="G2519" s="1801">
        <v>578.16</v>
      </c>
      <c r="H2519" s="1802">
        <f>IF(E2519="H",G2519,TRUNC(G2519*(1-$K$7),2))</f>
        <v>575.21</v>
      </c>
      <c r="I2519" s="1803">
        <f t="shared" si="361"/>
        <v>16.850000000000001</v>
      </c>
      <c r="J2519" s="1795"/>
    </row>
    <row r="2520" spans="1:10">
      <c r="A2520" s="1797" t="s">
        <v>2476</v>
      </c>
      <c r="B2520" s="1798" t="s">
        <v>7</v>
      </c>
      <c r="C2520" s="1798">
        <v>88309</v>
      </c>
      <c r="D2520" s="1799" t="s">
        <v>103</v>
      </c>
      <c r="E2520" s="1800" t="s">
        <v>411</v>
      </c>
      <c r="F2520" s="1807">
        <v>0.40899999999999997</v>
      </c>
      <c r="G2520" s="1801">
        <v>24.59</v>
      </c>
      <c r="H2520" s="1802">
        <f>IF(E2520="H",G2520,TRUNC(G2520*(1-$K$7),2))</f>
        <v>24.59</v>
      </c>
      <c r="I2520" s="1803">
        <f t="shared" si="361"/>
        <v>10.050000000000001</v>
      </c>
      <c r="J2520" s="1795"/>
    </row>
    <row r="2521" spans="1:10">
      <c r="A2521" s="1797" t="s">
        <v>2476</v>
      </c>
      <c r="B2521" s="1798" t="s">
        <v>7</v>
      </c>
      <c r="C2521" s="1798">
        <v>88316</v>
      </c>
      <c r="D2521" s="1799" t="s">
        <v>66</v>
      </c>
      <c r="E2521" s="1800" t="s">
        <v>411</v>
      </c>
      <c r="F2521" s="1807">
        <v>0.40899999999999997</v>
      </c>
      <c r="G2521" s="1801">
        <v>19.45</v>
      </c>
      <c r="H2521" s="1802">
        <f>IF(E2521="H",G2521,TRUNC(G2521*(1-$K$7),2))</f>
        <v>19.45</v>
      </c>
      <c r="I2521" s="1803">
        <f t="shared" si="361"/>
        <v>7.95</v>
      </c>
      <c r="J2521" s="1795"/>
    </row>
    <row r="2522" spans="1:10">
      <c r="A2522" s="1943" t="s">
        <v>2477</v>
      </c>
      <c r="B2522" s="1944"/>
      <c r="C2522" s="1944"/>
      <c r="D2522" s="1944"/>
      <c r="E2522" s="1944"/>
      <c r="F2522" s="1944"/>
      <c r="G2522" s="1944"/>
      <c r="H2522" s="1945"/>
      <c r="I2522" s="1805">
        <f>SUM(I2518:I2521)</f>
        <v>39.06</v>
      </c>
      <c r="J2522" s="1795"/>
    </row>
    <row r="2523" spans="1:10">
      <c r="A2523" s="1929"/>
      <c r="B2523" s="1930"/>
      <c r="C2523" s="1930"/>
      <c r="D2523" s="1930"/>
      <c r="E2523" s="1930"/>
      <c r="F2523" s="1930"/>
      <c r="G2523" s="1930"/>
      <c r="H2523" s="1930"/>
      <c r="I2523" s="1931"/>
      <c r="J2523" s="1795"/>
    </row>
    <row r="2524" spans="1:10">
      <c r="A2524" s="1784" t="str">
        <f>'PLANILHA SEM DESON'!B403</f>
        <v>COMP 08</v>
      </c>
      <c r="B2524" s="1940" t="str">
        <f>VLOOKUP(A2524,'PLANILHA SEM DESON'!$B$17:$D$1700,2,FALSE)</f>
        <v xml:space="preserve">FORNECIMENTO E INSTALAÇÃO DE GRADIL METÁLICO </v>
      </c>
      <c r="C2524" s="1941"/>
      <c r="D2524" s="1941"/>
      <c r="E2524" s="1941"/>
      <c r="F2524" s="1941"/>
      <c r="G2524" s="1941"/>
      <c r="H2524" s="1942"/>
      <c r="I2524" s="1785" t="str">
        <f>VLOOKUP(A2524,'PLANILHA SEM DESON'!$B$17:$D$1700,3,FALSE)</f>
        <v>m²</v>
      </c>
      <c r="J2524" s="1786">
        <f>I2530</f>
        <v>1104.6300000000001</v>
      </c>
    </row>
    <row r="2525" spans="1:10" ht="24">
      <c r="A2525" s="1788" t="s">
        <v>2470</v>
      </c>
      <c r="B2525" s="1789" t="s">
        <v>2471</v>
      </c>
      <c r="C2525" s="1790" t="s">
        <v>2468</v>
      </c>
      <c r="D2525" s="1791" t="s">
        <v>308</v>
      </c>
      <c r="E2525" s="1790" t="s">
        <v>202</v>
      </c>
      <c r="F2525" s="1792" t="s">
        <v>2472</v>
      </c>
      <c r="G2525" s="1790" t="s">
        <v>2473</v>
      </c>
      <c r="H2525" s="1793" t="s">
        <v>2474</v>
      </c>
      <c r="I2525" s="1794" t="s">
        <v>2475</v>
      </c>
      <c r="J2525" s="1795"/>
    </row>
    <row r="2526" spans="1:10">
      <c r="A2526" s="1797"/>
      <c r="B2526" s="1798"/>
      <c r="C2526" s="1798">
        <v>88315</v>
      </c>
      <c r="D2526" s="1799" t="s">
        <v>1373</v>
      </c>
      <c r="E2526" s="1800" t="s">
        <v>57</v>
      </c>
      <c r="F2526" s="1809">
        <v>0.97740000000000005</v>
      </c>
      <c r="G2526" s="1808">
        <v>24.44</v>
      </c>
      <c r="H2526" s="1802">
        <f>IF(E2526="H",G2526,TRUNC(G2526*(1-$K$7),2))</f>
        <v>24.44</v>
      </c>
      <c r="I2526" s="1803">
        <f t="shared" ref="I2526:I2529" si="362">TRUNC(H2526*F2526,2)</f>
        <v>23.88</v>
      </c>
      <c r="J2526" s="1795"/>
    </row>
    <row r="2527" spans="1:10">
      <c r="A2527" s="1797"/>
      <c r="B2527" s="1798"/>
      <c r="C2527" s="1798">
        <v>88316</v>
      </c>
      <c r="D2527" s="1799" t="s">
        <v>66</v>
      </c>
      <c r="E2527" s="1800" t="s">
        <v>57</v>
      </c>
      <c r="F2527" s="1809">
        <v>0.97740000000000005</v>
      </c>
      <c r="G2527" s="1808">
        <v>19.45</v>
      </c>
      <c r="H2527" s="1802">
        <f>IF(E2527="H",G2527,TRUNC(G2527*(1-$K$7),2))</f>
        <v>19.45</v>
      </c>
      <c r="I2527" s="1803">
        <f t="shared" si="362"/>
        <v>19.010000000000002</v>
      </c>
      <c r="J2527" s="1795"/>
    </row>
    <row r="2528" spans="1:10" ht="24">
      <c r="A2528" s="1797"/>
      <c r="B2528" s="1798"/>
      <c r="C2528" s="1798" t="s">
        <v>65</v>
      </c>
      <c r="D2528" s="1799" t="s">
        <v>562</v>
      </c>
      <c r="E2528" s="1800" t="s">
        <v>46</v>
      </c>
      <c r="F2528" s="1811">
        <v>1.02</v>
      </c>
      <c r="G2528" s="1806">
        <v>1044.33</v>
      </c>
      <c r="H2528" s="1802">
        <f>IF(E2528="H",G2528,TRUNC(G2528*(1-$K$7),2))</f>
        <v>1039</v>
      </c>
      <c r="I2528" s="1803">
        <f t="shared" si="362"/>
        <v>1059.78</v>
      </c>
      <c r="J2528" s="1795"/>
    </row>
    <row r="2529" spans="1:10" ht="48">
      <c r="A2529" s="1797"/>
      <c r="B2529" s="1798"/>
      <c r="C2529" s="1798">
        <v>94962</v>
      </c>
      <c r="D2529" s="1799" t="s">
        <v>1736</v>
      </c>
      <c r="E2529" s="1800" t="s">
        <v>47</v>
      </c>
      <c r="F2529" s="1809">
        <v>4.4999999999999997E-3</v>
      </c>
      <c r="G2529" s="1806">
        <v>438.71</v>
      </c>
      <c r="H2529" s="1802">
        <f>IF(E2529="H",G2529,TRUNC(G2529*(1-$K$7),2))</f>
        <v>436.47</v>
      </c>
      <c r="I2529" s="1803">
        <f t="shared" si="362"/>
        <v>1.96</v>
      </c>
      <c r="J2529" s="1795"/>
    </row>
    <row r="2530" spans="1:10">
      <c r="A2530" s="1943" t="s">
        <v>2477</v>
      </c>
      <c r="B2530" s="1944"/>
      <c r="C2530" s="1944"/>
      <c r="D2530" s="1944"/>
      <c r="E2530" s="1944"/>
      <c r="F2530" s="1944"/>
      <c r="G2530" s="1944"/>
      <c r="H2530" s="1945"/>
      <c r="I2530" s="1805">
        <f>SUM(I2526:I2529)</f>
        <v>1104.6300000000001</v>
      </c>
      <c r="J2530" s="1795"/>
    </row>
    <row r="2531" spans="1:10">
      <c r="A2531" s="1929"/>
      <c r="B2531" s="1930"/>
      <c r="C2531" s="1930"/>
      <c r="D2531" s="1930"/>
      <c r="E2531" s="1930"/>
      <c r="F2531" s="1930"/>
      <c r="G2531" s="1930"/>
      <c r="H2531" s="1930"/>
      <c r="I2531" s="1931"/>
      <c r="J2531" s="1795"/>
    </row>
    <row r="2532" spans="1:10">
      <c r="A2532" s="1784" t="str">
        <f>'PLANILHA SEM DESON'!B409</f>
        <v>COMP 23</v>
      </c>
      <c r="B2532" s="1940" t="str">
        <f>VLOOKUP(A2532,'PLANILHA SEM DESON'!$B$17:$D$1700,2,FALSE)</f>
        <v>ESTRUTURA METÁLICA PARA FIXAÇÃO DE BRISE EM MADEIRA NA FACHADA</v>
      </c>
      <c r="C2532" s="1941"/>
      <c r="D2532" s="1941"/>
      <c r="E2532" s="1941"/>
      <c r="F2532" s="1941"/>
      <c r="G2532" s="1941"/>
      <c r="H2532" s="1942"/>
      <c r="I2532" s="1785" t="str">
        <f>VLOOKUP(A2532,'PLANILHA SEM DESON'!$B$17:$D$1700,3,FALSE)</f>
        <v xml:space="preserve">un </v>
      </c>
      <c r="J2532" s="1786">
        <f>I2535</f>
        <v>13013.29</v>
      </c>
    </row>
    <row r="2533" spans="1:10" ht="24">
      <c r="A2533" s="1788" t="s">
        <v>2470</v>
      </c>
      <c r="B2533" s="1789" t="s">
        <v>2471</v>
      </c>
      <c r="C2533" s="1790" t="s">
        <v>2468</v>
      </c>
      <c r="D2533" s="1791" t="s">
        <v>308</v>
      </c>
      <c r="E2533" s="1790" t="s">
        <v>202</v>
      </c>
      <c r="F2533" s="1792" t="s">
        <v>2472</v>
      </c>
      <c r="G2533" s="1790" t="s">
        <v>2473</v>
      </c>
      <c r="H2533" s="1793" t="s">
        <v>2474</v>
      </c>
      <c r="I2533" s="1794" t="s">
        <v>2475</v>
      </c>
      <c r="J2533" s="1795"/>
    </row>
    <row r="2534" spans="1:10">
      <c r="A2534" s="1797"/>
      <c r="B2534" s="1798"/>
      <c r="C2534" s="1798" t="s">
        <v>65</v>
      </c>
      <c r="D2534" s="1799" t="s">
        <v>327</v>
      </c>
      <c r="E2534" s="1800" t="s">
        <v>55</v>
      </c>
      <c r="F2534" s="1806">
        <v>1</v>
      </c>
      <c r="G2534" s="1806">
        <v>13080</v>
      </c>
      <c r="H2534" s="1802">
        <f>IF(E2534="H",G2534,TRUNC(G2534*(1-$K$7),2))</f>
        <v>13013.29</v>
      </c>
      <c r="I2534" s="1803">
        <f t="shared" ref="I2534" si="363">TRUNC(H2534*F2534,2)</f>
        <v>13013.29</v>
      </c>
      <c r="J2534" s="1795"/>
    </row>
    <row r="2535" spans="1:10">
      <c r="A2535" s="1943" t="s">
        <v>2477</v>
      </c>
      <c r="B2535" s="1944"/>
      <c r="C2535" s="1944"/>
      <c r="D2535" s="1944"/>
      <c r="E2535" s="1944"/>
      <c r="F2535" s="1944"/>
      <c r="G2535" s="1944"/>
      <c r="H2535" s="1945"/>
      <c r="I2535" s="1805">
        <f>SUM(I2534:I2534)</f>
        <v>13013.29</v>
      </c>
      <c r="J2535" s="1795"/>
    </row>
    <row r="2536" spans="1:10">
      <c r="A2536" s="1929"/>
      <c r="B2536" s="1930"/>
      <c r="C2536" s="1930"/>
      <c r="D2536" s="1930"/>
      <c r="E2536" s="1930"/>
      <c r="F2536" s="1930"/>
      <c r="G2536" s="1930"/>
      <c r="H2536" s="1930"/>
      <c r="I2536" s="1931"/>
      <c r="J2536" s="1795"/>
    </row>
    <row r="2537" spans="1:10">
      <c r="A2537" s="1784" t="str">
        <f>'PLANILHA SEM DESON'!B410</f>
        <v>COMP 24</v>
      </c>
      <c r="B2537" s="1940" t="str">
        <f>VLOOKUP(A2537,'PLANILHA SEM DESON'!$B$17:$D$1700,2,FALSE)</f>
        <v>PAINEL EM MADEIRA DE ITAÚBA PARA BRISE EM FACHADA - FORNECIMENTO E INSTALAÇÃO</v>
      </c>
      <c r="C2537" s="1941"/>
      <c r="D2537" s="1941"/>
      <c r="E2537" s="1941"/>
      <c r="F2537" s="1941"/>
      <c r="G2537" s="1941"/>
      <c r="H2537" s="1942"/>
      <c r="I2537" s="1785" t="str">
        <f>VLOOKUP(A2537,'PLANILHA SEM DESON'!$B$17:$D$1700,3,FALSE)</f>
        <v xml:space="preserve">un </v>
      </c>
      <c r="J2537" s="1786">
        <f>I2540</f>
        <v>13400.6</v>
      </c>
    </row>
    <row r="2538" spans="1:10" ht="24">
      <c r="A2538" s="1788" t="s">
        <v>2470</v>
      </c>
      <c r="B2538" s="1789" t="s">
        <v>2471</v>
      </c>
      <c r="C2538" s="1790" t="s">
        <v>2468</v>
      </c>
      <c r="D2538" s="1791" t="s">
        <v>308</v>
      </c>
      <c r="E2538" s="1790" t="s">
        <v>202</v>
      </c>
      <c r="F2538" s="1792" t="s">
        <v>2472</v>
      </c>
      <c r="G2538" s="1790" t="s">
        <v>2473</v>
      </c>
      <c r="H2538" s="1793" t="s">
        <v>2474</v>
      </c>
      <c r="I2538" s="1794" t="s">
        <v>2475</v>
      </c>
      <c r="J2538" s="1795"/>
    </row>
    <row r="2539" spans="1:10" ht="24">
      <c r="A2539" s="1797"/>
      <c r="B2539" s="1798"/>
      <c r="C2539" s="1798" t="s">
        <v>65</v>
      </c>
      <c r="D2539" s="1799" t="s">
        <v>2102</v>
      </c>
      <c r="E2539" s="1800" t="s">
        <v>55</v>
      </c>
      <c r="F2539" s="1806">
        <v>1</v>
      </c>
      <c r="G2539" s="1806">
        <v>13469.3</v>
      </c>
      <c r="H2539" s="1802">
        <f>IF(E2539="H",G2539,TRUNC(G2539*(1-$K$7),2))</f>
        <v>13400.6</v>
      </c>
      <c r="I2539" s="1803">
        <f t="shared" ref="I2539" si="364">TRUNC(H2539*F2539,2)</f>
        <v>13400.6</v>
      </c>
      <c r="J2539" s="1795"/>
    </row>
    <row r="2540" spans="1:10">
      <c r="A2540" s="1943" t="s">
        <v>2477</v>
      </c>
      <c r="B2540" s="1944"/>
      <c r="C2540" s="1944"/>
      <c r="D2540" s="1944"/>
      <c r="E2540" s="1944"/>
      <c r="F2540" s="1944"/>
      <c r="G2540" s="1944"/>
      <c r="H2540" s="1945"/>
      <c r="I2540" s="1805">
        <f>SUM(I2539:I2539)</f>
        <v>13400.6</v>
      </c>
      <c r="J2540" s="1795"/>
    </row>
    <row r="2541" spans="1:10">
      <c r="A2541" s="1929"/>
      <c r="B2541" s="1930"/>
      <c r="C2541" s="1930"/>
      <c r="D2541" s="1930"/>
      <c r="E2541" s="1930"/>
      <c r="F2541" s="1930"/>
      <c r="G2541" s="1930"/>
      <c r="H2541" s="1930"/>
      <c r="I2541" s="1931"/>
      <c r="J2541" s="1795"/>
    </row>
    <row r="2542" spans="1:10">
      <c r="A2542" s="1784" t="str">
        <f>'PLANILHA SEM DESON'!B411</f>
        <v>COMP 25</v>
      </c>
      <c r="B2542" s="1940" t="str">
        <f>VLOOKUP(A2542,'PLANILHA SEM DESON'!$B$17:$D$1700,2,FALSE)</f>
        <v>CONJUNTO DE LETRAS EM CAIXA EM AÇO INOX BRILHANTE - FORNECIMENTO E INSTALAÇÃO</v>
      </c>
      <c r="C2542" s="1941"/>
      <c r="D2542" s="1941"/>
      <c r="E2542" s="1941"/>
      <c r="F2542" s="1941"/>
      <c r="G2542" s="1941"/>
      <c r="H2542" s="1942"/>
      <c r="I2542" s="1785" t="str">
        <f>VLOOKUP(A2542,'PLANILHA SEM DESON'!$B$17:$D$1700,3,FALSE)</f>
        <v xml:space="preserve">un </v>
      </c>
      <c r="J2542" s="1786">
        <f>I2545</f>
        <v>5471.95</v>
      </c>
    </row>
    <row r="2543" spans="1:10" ht="24">
      <c r="A2543" s="1788" t="s">
        <v>2470</v>
      </c>
      <c r="B2543" s="1789" t="s">
        <v>2471</v>
      </c>
      <c r="C2543" s="1790" t="s">
        <v>2468</v>
      </c>
      <c r="D2543" s="1791" t="s">
        <v>308</v>
      </c>
      <c r="E2543" s="1790" t="s">
        <v>202</v>
      </c>
      <c r="F2543" s="1792" t="s">
        <v>2472</v>
      </c>
      <c r="G2543" s="1790" t="s">
        <v>2473</v>
      </c>
      <c r="H2543" s="1793" t="s">
        <v>2474</v>
      </c>
      <c r="I2543" s="1794" t="s">
        <v>2475</v>
      </c>
      <c r="J2543" s="1795"/>
    </row>
    <row r="2544" spans="1:10" ht="24">
      <c r="A2544" s="1797"/>
      <c r="B2544" s="1798"/>
      <c r="C2544" s="1798" t="s">
        <v>65</v>
      </c>
      <c r="D2544" s="1799" t="s">
        <v>2230</v>
      </c>
      <c r="E2544" s="1800" t="s">
        <v>55</v>
      </c>
      <c r="F2544" s="1806">
        <v>1</v>
      </c>
      <c r="G2544" s="1806">
        <v>5500</v>
      </c>
      <c r="H2544" s="1802">
        <f>IF(E2544="H",G2544,TRUNC(G2544*(1-$K$7),2))</f>
        <v>5471.95</v>
      </c>
      <c r="I2544" s="1803">
        <f t="shared" ref="I2544" si="365">TRUNC(H2544*F2544,2)</f>
        <v>5471.95</v>
      </c>
      <c r="J2544" s="1795"/>
    </row>
    <row r="2545" spans="1:10">
      <c r="A2545" s="1943" t="s">
        <v>2477</v>
      </c>
      <c r="B2545" s="1944"/>
      <c r="C2545" s="1944"/>
      <c r="D2545" s="1944"/>
      <c r="E2545" s="1944"/>
      <c r="F2545" s="1944"/>
      <c r="G2545" s="1944"/>
      <c r="H2545" s="1945"/>
      <c r="I2545" s="1805">
        <f>SUM(I2544:I2544)</f>
        <v>5471.95</v>
      </c>
      <c r="J2545" s="1795"/>
    </row>
    <row r="2546" spans="1:10">
      <c r="A2546" s="1929"/>
      <c r="B2546" s="1930"/>
      <c r="C2546" s="1930"/>
      <c r="D2546" s="1930"/>
      <c r="E2546" s="1930"/>
      <c r="F2546" s="1930"/>
      <c r="G2546" s="1930"/>
      <c r="H2546" s="1930"/>
      <c r="I2546" s="1931"/>
      <c r="J2546" s="1795"/>
    </row>
    <row r="2547" spans="1:10" ht="25.5" customHeight="1">
      <c r="A2547" s="1784">
        <f>'PLANILHA SEM DESON'!B412</f>
        <v>92398</v>
      </c>
      <c r="B2547" s="1940" t="str">
        <f>VLOOKUP(A2547,'PLANILHA SEM DESON'!$B$17:$D$1700,2,FALSE)</f>
        <v>EXECUÇÃO DE PÁTIO/ESTACIONAMENTO EM PISO INTERTRAVADO, COM BLOCO RETANGULAR COR NATURAL  DE 20 X 10 CM, ESPESSURA 8 CM. AF_12/2015</v>
      </c>
      <c r="C2547" s="1941"/>
      <c r="D2547" s="1941"/>
      <c r="E2547" s="1941"/>
      <c r="F2547" s="1941"/>
      <c r="G2547" s="1941"/>
      <c r="H2547" s="1942"/>
      <c r="I2547" s="1785" t="str">
        <f>VLOOKUP(A2547,'PLANILHA SEM DESON'!$B$17:$D$1700,3,FALSE)</f>
        <v>m²</v>
      </c>
      <c r="J2547" s="1786">
        <f>I2558</f>
        <v>100.33999999999999</v>
      </c>
    </row>
    <row r="2548" spans="1:10" ht="24">
      <c r="A2548" s="1788" t="s">
        <v>2470</v>
      </c>
      <c r="B2548" s="1789" t="s">
        <v>2471</v>
      </c>
      <c r="C2548" s="1790" t="s">
        <v>2468</v>
      </c>
      <c r="D2548" s="1791" t="s">
        <v>308</v>
      </c>
      <c r="E2548" s="1790" t="s">
        <v>202</v>
      </c>
      <c r="F2548" s="1792" t="s">
        <v>2472</v>
      </c>
      <c r="G2548" s="1790" t="s">
        <v>2473</v>
      </c>
      <c r="H2548" s="1793" t="s">
        <v>2474</v>
      </c>
      <c r="I2548" s="1794" t="s">
        <v>2475</v>
      </c>
      <c r="J2548" s="1795"/>
    </row>
    <row r="2549" spans="1:10" ht="24">
      <c r="A2549" s="1797" t="s">
        <v>2476</v>
      </c>
      <c r="B2549" s="1798" t="s">
        <v>2479</v>
      </c>
      <c r="C2549" s="1798">
        <v>370</v>
      </c>
      <c r="D2549" s="1799" t="s">
        <v>2619</v>
      </c>
      <c r="E2549" s="1800" t="s">
        <v>1171</v>
      </c>
      <c r="F2549" s="1807">
        <v>5.6800000000000003E-2</v>
      </c>
      <c r="G2549" s="1801">
        <v>125</v>
      </c>
      <c r="H2549" s="1802">
        <f t="shared" ref="H2549:H2557" si="366">IF(E2549="H",G2549,TRUNC(G2549*(1-$K$7),2))</f>
        <v>124.36</v>
      </c>
      <c r="I2549" s="1803">
        <f t="shared" ref="I2549:I2557" si="367">TRUNC(H2549*F2549,2)</f>
        <v>7.06</v>
      </c>
      <c r="J2549" s="1795"/>
    </row>
    <row r="2550" spans="1:10" ht="24">
      <c r="A2550" s="1797" t="s">
        <v>2476</v>
      </c>
      <c r="B2550" s="1798" t="s">
        <v>2479</v>
      </c>
      <c r="C2550" s="1798">
        <v>4741</v>
      </c>
      <c r="D2550" s="1799" t="s">
        <v>2825</v>
      </c>
      <c r="E2550" s="1800" t="s">
        <v>1171</v>
      </c>
      <c r="F2550" s="1807">
        <v>9.7999999999999997E-3</v>
      </c>
      <c r="G2550" s="1801">
        <v>101.65</v>
      </c>
      <c r="H2550" s="1802">
        <f t="shared" si="366"/>
        <v>101.13</v>
      </c>
      <c r="I2550" s="1803">
        <f t="shared" si="367"/>
        <v>0.99</v>
      </c>
      <c r="J2550" s="1795"/>
    </row>
    <row r="2551" spans="1:10" ht="60">
      <c r="A2551" s="1797" t="s">
        <v>2476</v>
      </c>
      <c r="B2551" s="1798" t="s">
        <v>2479</v>
      </c>
      <c r="C2551" s="1798">
        <v>36170</v>
      </c>
      <c r="D2551" s="1799" t="s">
        <v>2826</v>
      </c>
      <c r="E2551" s="1800" t="s">
        <v>1176</v>
      </c>
      <c r="F2551" s="1807">
        <v>1.0041</v>
      </c>
      <c r="G2551" s="1801">
        <v>81.06</v>
      </c>
      <c r="H2551" s="1802">
        <f t="shared" si="366"/>
        <v>80.64</v>
      </c>
      <c r="I2551" s="1803">
        <f t="shared" ref="I2551:I2552" si="368">TRUNC(H2551*F2551,2)</f>
        <v>80.97</v>
      </c>
      <c r="J2551" s="1795"/>
    </row>
    <row r="2552" spans="1:10">
      <c r="A2552" s="1797" t="s">
        <v>2476</v>
      </c>
      <c r="B2552" s="1798" t="s">
        <v>7</v>
      </c>
      <c r="C2552" s="1798">
        <v>88260</v>
      </c>
      <c r="D2552" s="1799" t="s">
        <v>2827</v>
      </c>
      <c r="E2552" s="1800" t="s">
        <v>411</v>
      </c>
      <c r="F2552" s="1807">
        <v>0.26319999999999999</v>
      </c>
      <c r="G2552" s="1801">
        <v>22.58</v>
      </c>
      <c r="H2552" s="1802">
        <f t="shared" si="366"/>
        <v>22.58</v>
      </c>
      <c r="I2552" s="1803">
        <f t="shared" si="368"/>
        <v>5.94</v>
      </c>
      <c r="J2552" s="1795"/>
    </row>
    <row r="2553" spans="1:10">
      <c r="A2553" s="1797" t="s">
        <v>2476</v>
      </c>
      <c r="B2553" s="1798" t="s">
        <v>7</v>
      </c>
      <c r="C2553" s="1798">
        <v>88316</v>
      </c>
      <c r="D2553" s="1799" t="s">
        <v>66</v>
      </c>
      <c r="E2553" s="1800" t="s">
        <v>411</v>
      </c>
      <c r="F2553" s="1807">
        <v>0.26319999999999999</v>
      </c>
      <c r="G2553" s="1801">
        <v>19.45</v>
      </c>
      <c r="H2553" s="1802">
        <f t="shared" si="366"/>
        <v>19.45</v>
      </c>
      <c r="I2553" s="1803">
        <f t="shared" si="367"/>
        <v>5.1100000000000003</v>
      </c>
      <c r="J2553" s="1795"/>
    </row>
    <row r="2554" spans="1:10" ht="36">
      <c r="A2554" s="1797" t="s">
        <v>2476</v>
      </c>
      <c r="B2554" s="1798" t="s">
        <v>7</v>
      </c>
      <c r="C2554" s="1798">
        <v>91277</v>
      </c>
      <c r="D2554" s="1799" t="s">
        <v>2801</v>
      </c>
      <c r="E2554" s="1800" t="s">
        <v>456</v>
      </c>
      <c r="F2554" s="1807">
        <v>5.4999999999999997E-3</v>
      </c>
      <c r="G2554" s="1801">
        <v>8.18</v>
      </c>
      <c r="H2554" s="1802">
        <f t="shared" si="366"/>
        <v>8.1300000000000008</v>
      </c>
      <c r="I2554" s="1803">
        <f t="shared" si="367"/>
        <v>0.04</v>
      </c>
      <c r="J2554" s="1795"/>
    </row>
    <row r="2555" spans="1:10" ht="36">
      <c r="A2555" s="1797" t="s">
        <v>2476</v>
      </c>
      <c r="B2555" s="1798" t="s">
        <v>7</v>
      </c>
      <c r="C2555" s="1798">
        <v>91278</v>
      </c>
      <c r="D2555" s="1799" t="s">
        <v>2802</v>
      </c>
      <c r="E2555" s="1800" t="s">
        <v>577</v>
      </c>
      <c r="F2555" s="1807">
        <v>0.12609999999999999</v>
      </c>
      <c r="G2555" s="1801">
        <v>0.57999999999999996</v>
      </c>
      <c r="H2555" s="1802">
        <f t="shared" si="366"/>
        <v>0.56999999999999995</v>
      </c>
      <c r="I2555" s="1803">
        <f t="shared" si="367"/>
        <v>7.0000000000000007E-2</v>
      </c>
      <c r="J2555" s="1795"/>
    </row>
    <row r="2556" spans="1:10" ht="60">
      <c r="A2556" s="1797" t="s">
        <v>2476</v>
      </c>
      <c r="B2556" s="1798" t="s">
        <v>7</v>
      </c>
      <c r="C2556" s="1798">
        <v>91283</v>
      </c>
      <c r="D2556" s="1799" t="s">
        <v>2828</v>
      </c>
      <c r="E2556" s="1800" t="s">
        <v>456</v>
      </c>
      <c r="F2556" s="1807">
        <v>3.8E-3</v>
      </c>
      <c r="G2556" s="1801">
        <v>9.2799999999999994</v>
      </c>
      <c r="H2556" s="1802">
        <f t="shared" si="366"/>
        <v>9.23</v>
      </c>
      <c r="I2556" s="1803">
        <f t="shared" si="367"/>
        <v>0.03</v>
      </c>
      <c r="J2556" s="1795"/>
    </row>
    <row r="2557" spans="1:10" ht="60">
      <c r="A2557" s="1797" t="s">
        <v>2476</v>
      </c>
      <c r="B2557" s="1798" t="s">
        <v>7</v>
      </c>
      <c r="C2557" s="1798">
        <v>91285</v>
      </c>
      <c r="D2557" s="1799" t="s">
        <v>2829</v>
      </c>
      <c r="E2557" s="1800" t="s">
        <v>577</v>
      </c>
      <c r="F2557" s="1807">
        <v>0.1278</v>
      </c>
      <c r="G2557" s="1801">
        <v>1.07</v>
      </c>
      <c r="H2557" s="1802">
        <f t="shared" si="366"/>
        <v>1.06</v>
      </c>
      <c r="I2557" s="1803">
        <f t="shared" si="367"/>
        <v>0.13</v>
      </c>
      <c r="J2557" s="1795"/>
    </row>
    <row r="2558" spans="1:10">
      <c r="A2558" s="1943" t="s">
        <v>2477</v>
      </c>
      <c r="B2558" s="1944"/>
      <c r="C2558" s="1944"/>
      <c r="D2558" s="1944"/>
      <c r="E2558" s="1944"/>
      <c r="F2558" s="1944"/>
      <c r="G2558" s="1944"/>
      <c r="H2558" s="1945"/>
      <c r="I2558" s="1805">
        <f>SUM(I2549:I2557)</f>
        <v>100.33999999999999</v>
      </c>
      <c r="J2558" s="1795"/>
    </row>
    <row r="2559" spans="1:10">
      <c r="A2559" s="1929"/>
      <c r="B2559" s="1930"/>
      <c r="C2559" s="1930"/>
      <c r="D2559" s="1930"/>
      <c r="E2559" s="1930"/>
      <c r="F2559" s="1930"/>
      <c r="G2559" s="1930"/>
      <c r="H2559" s="1930"/>
      <c r="I2559" s="1931"/>
      <c r="J2559" s="1795"/>
    </row>
    <row r="2560" spans="1:10" ht="34.5" customHeight="1">
      <c r="A2560" s="1784">
        <f>'PLANILHA SEM DESON'!B413</f>
        <v>94994</v>
      </c>
      <c r="B2560" s="1940" t="str">
        <f>VLOOKUP(A2560,'PLANILHA SEM DESON'!$B$17:$D$1700,2,FALSE)</f>
        <v>EXECUÇÃO DE PASSEIO (CALÇADA) OU PISO DE CONCRETO COM CONCRETO MOLDADO IN LOCO, FEITO EM OBRA, ACABAMENTO CONVENCIONAL, ESPESSURA 8 CM, ARMADO. AF_07/2016</v>
      </c>
      <c r="C2560" s="1941"/>
      <c r="D2560" s="1941"/>
      <c r="E2560" s="1941"/>
      <c r="F2560" s="1941"/>
      <c r="G2560" s="1941"/>
      <c r="H2560" s="1942"/>
      <c r="I2560" s="1785" t="str">
        <f>VLOOKUP(A2560,'PLANILHA SEM DESON'!$B$17:$D$1700,3,FALSE)</f>
        <v>m²</v>
      </c>
      <c r="J2560" s="1786">
        <f>I2571</f>
        <v>114.35999999999999</v>
      </c>
    </row>
    <row r="2561" spans="1:10" ht="24">
      <c r="A2561" s="1788" t="s">
        <v>2470</v>
      </c>
      <c r="B2561" s="1789" t="s">
        <v>2471</v>
      </c>
      <c r="C2561" s="1790" t="s">
        <v>2468</v>
      </c>
      <c r="D2561" s="1791" t="s">
        <v>308</v>
      </c>
      <c r="E2561" s="1790" t="s">
        <v>202</v>
      </c>
      <c r="F2561" s="1792" t="s">
        <v>2472</v>
      </c>
      <c r="G2561" s="1790" t="s">
        <v>2473</v>
      </c>
      <c r="H2561" s="1793" t="s">
        <v>2474</v>
      </c>
      <c r="I2561" s="1794" t="s">
        <v>2475</v>
      </c>
      <c r="J2561" s="1795"/>
    </row>
    <row r="2562" spans="1:10" ht="24">
      <c r="A2562" s="1797" t="s">
        <v>2476</v>
      </c>
      <c r="B2562" s="1798" t="s">
        <v>2479</v>
      </c>
      <c r="C2562" s="1798">
        <v>2692</v>
      </c>
      <c r="D2562" s="1799" t="s">
        <v>1730</v>
      </c>
      <c r="E2562" s="1800" t="s">
        <v>455</v>
      </c>
      <c r="F2562" s="1807">
        <v>1.6999999999999999E-3</v>
      </c>
      <c r="G2562" s="1801">
        <v>8.84</v>
      </c>
      <c r="H2562" s="1802">
        <f t="shared" ref="H2562:H2570" si="369">IF(E2562="H",G2562,TRUNC(G2562*(1-$K$7),2))</f>
        <v>8.7899999999999991</v>
      </c>
      <c r="I2562" s="1803">
        <f t="shared" ref="I2562:I2570" si="370">TRUNC(H2562*F2562,2)</f>
        <v>0.01</v>
      </c>
      <c r="J2562" s="1795"/>
    </row>
    <row r="2563" spans="1:10" ht="24">
      <c r="A2563" s="1797" t="s">
        <v>2476</v>
      </c>
      <c r="B2563" s="1798" t="s">
        <v>2479</v>
      </c>
      <c r="C2563" s="1798">
        <v>4509</v>
      </c>
      <c r="D2563" s="1799" t="s">
        <v>2830</v>
      </c>
      <c r="E2563" s="1800" t="s">
        <v>160</v>
      </c>
      <c r="F2563" s="1807">
        <v>0.25</v>
      </c>
      <c r="G2563" s="1801">
        <v>5.92</v>
      </c>
      <c r="H2563" s="1802">
        <f t="shared" si="369"/>
        <v>5.88</v>
      </c>
      <c r="I2563" s="1803">
        <f>TRUNC(H2563*F2563,2)</f>
        <v>1.47</v>
      </c>
      <c r="J2563" s="1795"/>
    </row>
    <row r="2564" spans="1:10" ht="24">
      <c r="A2564" s="1797" t="s">
        <v>2476</v>
      </c>
      <c r="B2564" s="1798" t="s">
        <v>2479</v>
      </c>
      <c r="C2564" s="1798">
        <v>4517</v>
      </c>
      <c r="D2564" s="1799" t="s">
        <v>1731</v>
      </c>
      <c r="E2564" s="1800" t="s">
        <v>160</v>
      </c>
      <c r="F2564" s="1807">
        <v>0.2</v>
      </c>
      <c r="G2564" s="1801">
        <v>4.08</v>
      </c>
      <c r="H2564" s="1802">
        <f t="shared" si="369"/>
        <v>4.05</v>
      </c>
      <c r="I2564" s="1803">
        <f t="shared" ref="I2564:I2565" si="371">TRUNC(H2564*F2564,2)</f>
        <v>0.81</v>
      </c>
      <c r="J2564" s="1795"/>
    </row>
    <row r="2565" spans="1:10">
      <c r="A2565" s="1797" t="s">
        <v>2476</v>
      </c>
      <c r="B2565" s="1798" t="s">
        <v>2479</v>
      </c>
      <c r="C2565" s="1798">
        <v>5068</v>
      </c>
      <c r="D2565" s="1799" t="s">
        <v>2497</v>
      </c>
      <c r="E2565" s="1800" t="s">
        <v>1184</v>
      </c>
      <c r="F2565" s="1807">
        <v>2.4E-2</v>
      </c>
      <c r="G2565" s="1801">
        <v>25.89</v>
      </c>
      <c r="H2565" s="1802">
        <f t="shared" si="369"/>
        <v>25.75</v>
      </c>
      <c r="I2565" s="1803">
        <f t="shared" si="371"/>
        <v>0.61</v>
      </c>
      <c r="J2565" s="1795"/>
    </row>
    <row r="2566" spans="1:10" ht="36">
      <c r="A2566" s="1797" t="s">
        <v>2476</v>
      </c>
      <c r="B2566" s="1798" t="s">
        <v>2479</v>
      </c>
      <c r="C2566" s="1798">
        <v>7156</v>
      </c>
      <c r="D2566" s="1799" t="s">
        <v>2831</v>
      </c>
      <c r="E2566" s="1800" t="s">
        <v>1176</v>
      </c>
      <c r="F2566" s="1807">
        <v>1.0815999999999999</v>
      </c>
      <c r="G2566" s="1801">
        <v>41.33</v>
      </c>
      <c r="H2566" s="1802">
        <f t="shared" si="369"/>
        <v>41.11</v>
      </c>
      <c r="I2566" s="1803">
        <f t="shared" si="370"/>
        <v>44.46</v>
      </c>
      <c r="J2566" s="1795"/>
    </row>
    <row r="2567" spans="1:10" ht="24">
      <c r="A2567" s="1797" t="s">
        <v>2476</v>
      </c>
      <c r="B2567" s="1798" t="s">
        <v>7</v>
      </c>
      <c r="C2567" s="1798">
        <v>88262</v>
      </c>
      <c r="D2567" s="1799" t="s">
        <v>441</v>
      </c>
      <c r="E2567" s="1800" t="s">
        <v>411</v>
      </c>
      <c r="F2567" s="1807">
        <v>0.13009999999999999</v>
      </c>
      <c r="G2567" s="1801">
        <v>24.32</v>
      </c>
      <c r="H2567" s="1802">
        <f t="shared" si="369"/>
        <v>24.32</v>
      </c>
      <c r="I2567" s="1803">
        <f t="shared" si="370"/>
        <v>3.16</v>
      </c>
      <c r="J2567" s="1795"/>
    </row>
    <row r="2568" spans="1:10">
      <c r="A2568" s="1797" t="s">
        <v>2476</v>
      </c>
      <c r="B2568" s="1798" t="s">
        <v>7</v>
      </c>
      <c r="C2568" s="1798">
        <v>88309</v>
      </c>
      <c r="D2568" s="1799" t="s">
        <v>103</v>
      </c>
      <c r="E2568" s="1800" t="s">
        <v>411</v>
      </c>
      <c r="F2568" s="1807">
        <v>0.18820000000000001</v>
      </c>
      <c r="G2568" s="1801">
        <v>24.59</v>
      </c>
      <c r="H2568" s="1802">
        <f t="shared" si="369"/>
        <v>24.59</v>
      </c>
      <c r="I2568" s="1803">
        <f t="shared" si="370"/>
        <v>4.62</v>
      </c>
      <c r="J2568" s="1795"/>
    </row>
    <row r="2569" spans="1:10">
      <c r="A2569" s="1797" t="s">
        <v>2476</v>
      </c>
      <c r="B2569" s="1798" t="s">
        <v>7</v>
      </c>
      <c r="C2569" s="1798">
        <v>88316</v>
      </c>
      <c r="D2569" s="1799" t="s">
        <v>66</v>
      </c>
      <c r="E2569" s="1800" t="s">
        <v>411</v>
      </c>
      <c r="F2569" s="1807">
        <v>0.31830000000000003</v>
      </c>
      <c r="G2569" s="1801">
        <v>19.45</v>
      </c>
      <c r="H2569" s="1802">
        <f t="shared" si="369"/>
        <v>19.45</v>
      </c>
      <c r="I2569" s="1803">
        <f t="shared" si="370"/>
        <v>6.19</v>
      </c>
      <c r="J2569" s="1795"/>
    </row>
    <row r="2570" spans="1:10" ht="36">
      <c r="A2570" s="1797" t="s">
        <v>2476</v>
      </c>
      <c r="B2570" s="1798" t="s">
        <v>7</v>
      </c>
      <c r="C2570" s="1798">
        <v>94964</v>
      </c>
      <c r="D2570" s="1799" t="s">
        <v>2832</v>
      </c>
      <c r="E2570" s="1800" t="s">
        <v>1171</v>
      </c>
      <c r="F2570" s="1807">
        <v>9.8500000000000004E-2</v>
      </c>
      <c r="G2570" s="1801">
        <v>541.14</v>
      </c>
      <c r="H2570" s="1802">
        <f t="shared" si="369"/>
        <v>538.38</v>
      </c>
      <c r="I2570" s="1803">
        <f t="shared" si="370"/>
        <v>53.03</v>
      </c>
      <c r="J2570" s="1795"/>
    </row>
    <row r="2571" spans="1:10">
      <c r="A2571" s="1943" t="s">
        <v>2477</v>
      </c>
      <c r="B2571" s="1944"/>
      <c r="C2571" s="1944"/>
      <c r="D2571" s="1944"/>
      <c r="E2571" s="1944"/>
      <c r="F2571" s="1944"/>
      <c r="G2571" s="1944"/>
      <c r="H2571" s="1945"/>
      <c r="I2571" s="1805">
        <f>SUM(I2562:I2570)</f>
        <v>114.35999999999999</v>
      </c>
      <c r="J2571" s="1795"/>
    </row>
    <row r="2572" spans="1:10">
      <c r="A2572" s="1929"/>
      <c r="B2572" s="1930"/>
      <c r="C2572" s="1930"/>
      <c r="D2572" s="1930"/>
      <c r="E2572" s="1930"/>
      <c r="F2572" s="1930"/>
      <c r="G2572" s="1930"/>
      <c r="H2572" s="1930"/>
      <c r="I2572" s="1931"/>
      <c r="J2572" s="1795"/>
    </row>
    <row r="2573" spans="1:10" ht="27" customHeight="1">
      <c r="A2573" s="1784">
        <f>'PLANILHA SEM DESON'!B414</f>
        <v>94266</v>
      </c>
      <c r="B2573" s="1940" t="str">
        <f>VLOOKUP(A2573,'PLANILHA SEM DESON'!$B$17:$D$1700,2,FALSE)</f>
        <v>GUIA (MEIO-FIO) CONCRETO, MOLDADA IN LOCO EM TRECHO CURVO COM EXTRUSORA, 15 CM BASE X 30 CM ALTURA. AF_06/2016</v>
      </c>
      <c r="C2573" s="1941"/>
      <c r="D2573" s="1941"/>
      <c r="E2573" s="1941"/>
      <c r="F2573" s="1941"/>
      <c r="G2573" s="1941"/>
      <c r="H2573" s="1942"/>
      <c r="I2573" s="1785" t="str">
        <f>VLOOKUP(A2573,'PLANILHA SEM DESON'!$B$17:$D$1700,3,FALSE)</f>
        <v>m</v>
      </c>
      <c r="J2573" s="1786">
        <f>I2583</f>
        <v>53.240000000000009</v>
      </c>
    </row>
    <row r="2574" spans="1:10" ht="24">
      <c r="A2574" s="1788" t="s">
        <v>2470</v>
      </c>
      <c r="B2574" s="1789" t="s">
        <v>2471</v>
      </c>
      <c r="C2574" s="1790" t="s">
        <v>2468</v>
      </c>
      <c r="D2574" s="1791" t="s">
        <v>308</v>
      </c>
      <c r="E2574" s="1790" t="s">
        <v>202</v>
      </c>
      <c r="F2574" s="1792" t="s">
        <v>2472</v>
      </c>
      <c r="G2574" s="1790" t="s">
        <v>2473</v>
      </c>
      <c r="H2574" s="1793" t="s">
        <v>2474</v>
      </c>
      <c r="I2574" s="1794" t="s">
        <v>2475</v>
      </c>
      <c r="J2574" s="1795"/>
    </row>
    <row r="2575" spans="1:10" ht="24">
      <c r="A2575" s="1797" t="s">
        <v>2476</v>
      </c>
      <c r="B2575" s="1798" t="s">
        <v>2479</v>
      </c>
      <c r="C2575" s="1798">
        <v>370</v>
      </c>
      <c r="D2575" s="1799" t="s">
        <v>2619</v>
      </c>
      <c r="E2575" s="1800" t="s">
        <v>1171</v>
      </c>
      <c r="F2575" s="1807">
        <v>7.0000000000000001E-3</v>
      </c>
      <c r="G2575" s="1801">
        <v>125</v>
      </c>
      <c r="H2575" s="1802">
        <f t="shared" ref="H2575:H2582" si="372">IF(E2575="H",G2575,TRUNC(G2575*(1-$K$7),2))</f>
        <v>124.36</v>
      </c>
      <c r="I2575" s="1803">
        <f t="shared" ref="I2575:I2582" si="373">TRUNC(H2575*F2575,2)</f>
        <v>0.87</v>
      </c>
      <c r="J2575" s="1795"/>
    </row>
    <row r="2576" spans="1:10" ht="36">
      <c r="A2576" s="1797" t="s">
        <v>2476</v>
      </c>
      <c r="B2576" s="1798" t="s">
        <v>2479</v>
      </c>
      <c r="C2576" s="1798">
        <v>34492</v>
      </c>
      <c r="D2576" s="1799" t="s">
        <v>2833</v>
      </c>
      <c r="E2576" s="1800" t="s">
        <v>1171</v>
      </c>
      <c r="F2576" s="1807">
        <v>0.05</v>
      </c>
      <c r="G2576" s="1801">
        <v>595</v>
      </c>
      <c r="H2576" s="1802">
        <f t="shared" si="372"/>
        <v>591.96</v>
      </c>
      <c r="I2576" s="1803">
        <f t="shared" si="373"/>
        <v>29.59</v>
      </c>
      <c r="J2576" s="1795"/>
    </row>
    <row r="2577" spans="1:10" ht="24">
      <c r="A2577" s="1797" t="s">
        <v>2476</v>
      </c>
      <c r="B2577" s="1798" t="s">
        <v>7</v>
      </c>
      <c r="C2577" s="1798">
        <v>88243</v>
      </c>
      <c r="D2577" s="1799" t="s">
        <v>2834</v>
      </c>
      <c r="E2577" s="1800" t="s">
        <v>411</v>
      </c>
      <c r="F2577" s="1807">
        <v>0.14199999999999999</v>
      </c>
      <c r="G2577" s="1801">
        <v>20.53</v>
      </c>
      <c r="H2577" s="1802">
        <f t="shared" si="372"/>
        <v>20.53</v>
      </c>
      <c r="I2577" s="1803">
        <f t="shared" ref="I2577" si="374">TRUNC(H2577*F2577,2)</f>
        <v>2.91</v>
      </c>
      <c r="J2577" s="1795"/>
    </row>
    <row r="2578" spans="1:10">
      <c r="A2578" s="1797" t="s">
        <v>2476</v>
      </c>
      <c r="B2578" s="1798" t="s">
        <v>7</v>
      </c>
      <c r="C2578" s="1798">
        <v>88309</v>
      </c>
      <c r="D2578" s="1799" t="s">
        <v>103</v>
      </c>
      <c r="E2578" s="1800" t="s">
        <v>411</v>
      </c>
      <c r="F2578" s="1807">
        <v>0.27600000000000002</v>
      </c>
      <c r="G2578" s="1801">
        <v>24.59</v>
      </c>
      <c r="H2578" s="1802">
        <f t="shared" si="372"/>
        <v>24.59</v>
      </c>
      <c r="I2578" s="1803">
        <f t="shared" si="373"/>
        <v>6.78</v>
      </c>
      <c r="J2578" s="1795"/>
    </row>
    <row r="2579" spans="1:10">
      <c r="A2579" s="1797" t="s">
        <v>2476</v>
      </c>
      <c r="B2579" s="1798" t="s">
        <v>7</v>
      </c>
      <c r="C2579" s="1798">
        <v>88316</v>
      </c>
      <c r="D2579" s="1799" t="s">
        <v>66</v>
      </c>
      <c r="E2579" s="1800" t="s">
        <v>411</v>
      </c>
      <c r="F2579" s="1807">
        <v>0.55200000000000005</v>
      </c>
      <c r="G2579" s="1801">
        <v>19.45</v>
      </c>
      <c r="H2579" s="1802">
        <f t="shared" si="372"/>
        <v>19.45</v>
      </c>
      <c r="I2579" s="1803">
        <f t="shared" si="373"/>
        <v>10.73</v>
      </c>
      <c r="J2579" s="1795"/>
    </row>
    <row r="2580" spans="1:10" ht="24">
      <c r="A2580" s="1797" t="s">
        <v>2476</v>
      </c>
      <c r="B2580" s="1798" t="s">
        <v>7</v>
      </c>
      <c r="C2580" s="1798">
        <v>88631</v>
      </c>
      <c r="D2580" s="1799" t="s">
        <v>2835</v>
      </c>
      <c r="E2580" s="1800" t="s">
        <v>1171</v>
      </c>
      <c r="F2580" s="1807">
        <v>2E-3</v>
      </c>
      <c r="G2580" s="1801">
        <v>671.15</v>
      </c>
      <c r="H2580" s="1802">
        <f t="shared" si="372"/>
        <v>667.72</v>
      </c>
      <c r="I2580" s="1803">
        <f t="shared" si="373"/>
        <v>1.33</v>
      </c>
      <c r="J2580" s="1795"/>
    </row>
    <row r="2581" spans="1:10" ht="36">
      <c r="A2581" s="1797" t="s">
        <v>2476</v>
      </c>
      <c r="B2581" s="1798" t="s">
        <v>7</v>
      </c>
      <c r="C2581" s="1798">
        <v>92960</v>
      </c>
      <c r="D2581" s="1799" t="s">
        <v>2836</v>
      </c>
      <c r="E2581" s="1800" t="s">
        <v>456</v>
      </c>
      <c r="F2581" s="1807">
        <v>2.4E-2</v>
      </c>
      <c r="G2581" s="1801">
        <v>19.97</v>
      </c>
      <c r="H2581" s="1802">
        <f t="shared" si="372"/>
        <v>19.86</v>
      </c>
      <c r="I2581" s="1803">
        <f t="shared" si="373"/>
        <v>0.47</v>
      </c>
      <c r="J2581" s="1795"/>
    </row>
    <row r="2582" spans="1:10" ht="36">
      <c r="A2582" s="1797" t="s">
        <v>2476</v>
      </c>
      <c r="B2582" s="1798" t="s">
        <v>7</v>
      </c>
      <c r="C2582" s="1798">
        <v>92961</v>
      </c>
      <c r="D2582" s="1799" t="s">
        <v>2837</v>
      </c>
      <c r="E2582" s="1800" t="s">
        <v>577</v>
      </c>
      <c r="F2582" s="1807">
        <v>0.11799999999999999</v>
      </c>
      <c r="G2582" s="1801">
        <v>4.8600000000000003</v>
      </c>
      <c r="H2582" s="1802">
        <f t="shared" si="372"/>
        <v>4.83</v>
      </c>
      <c r="I2582" s="1803">
        <f t="shared" si="373"/>
        <v>0.56000000000000005</v>
      </c>
      <c r="J2582" s="1795"/>
    </row>
    <row r="2583" spans="1:10">
      <c r="A2583" s="1943" t="s">
        <v>2477</v>
      </c>
      <c r="B2583" s="1944"/>
      <c r="C2583" s="1944"/>
      <c r="D2583" s="1944"/>
      <c r="E2583" s="1944"/>
      <c r="F2583" s="1944"/>
      <c r="G2583" s="1944"/>
      <c r="H2583" s="1945"/>
      <c r="I2583" s="1805">
        <f>SUM(I2575:I2582)</f>
        <v>53.240000000000009</v>
      </c>
      <c r="J2583" s="1795"/>
    </row>
    <row r="2584" spans="1:10">
      <c r="A2584" s="1929"/>
      <c r="B2584" s="1930"/>
      <c r="C2584" s="1930"/>
      <c r="D2584" s="1930"/>
      <c r="E2584" s="1930"/>
      <c r="F2584" s="1930"/>
      <c r="G2584" s="1930"/>
      <c r="H2584" s="1930"/>
      <c r="I2584" s="1931"/>
      <c r="J2584" s="1795"/>
    </row>
    <row r="2585" spans="1:10" ht="25.5" customHeight="1">
      <c r="A2585" s="1784">
        <f>'PLANILHA SEM DESON'!B415</f>
        <v>94265</v>
      </c>
      <c r="B2585" s="1940" t="str">
        <f>VLOOKUP(A2585,'PLANILHA SEM DESON'!$B$17:$D$1700,2,FALSE)</f>
        <v>GUIA (MEIO-FIO) CONCRETO, MOLDADA IN LOCO EM TRECHO RETO COM EXTRUSORA, 15 CM BASE X 30 CM ALTURA. AF_06/2016</v>
      </c>
      <c r="C2585" s="1941"/>
      <c r="D2585" s="1941"/>
      <c r="E2585" s="1941"/>
      <c r="F2585" s="1941"/>
      <c r="G2585" s="1941"/>
      <c r="H2585" s="1942"/>
      <c r="I2585" s="1785" t="str">
        <f>VLOOKUP(A2585,'PLANILHA SEM DESON'!$B$17:$D$1700,3,FALSE)</f>
        <v>m</v>
      </c>
      <c r="J2585" s="1786">
        <f>I2595</f>
        <v>49.379999999999995</v>
      </c>
    </row>
    <row r="2586" spans="1:10" ht="24">
      <c r="A2586" s="1788" t="s">
        <v>2470</v>
      </c>
      <c r="B2586" s="1789" t="s">
        <v>2471</v>
      </c>
      <c r="C2586" s="1790" t="s">
        <v>2468</v>
      </c>
      <c r="D2586" s="1791" t="s">
        <v>308</v>
      </c>
      <c r="E2586" s="1790" t="s">
        <v>202</v>
      </c>
      <c r="F2586" s="1792" t="s">
        <v>2472</v>
      </c>
      <c r="G2586" s="1790" t="s">
        <v>2473</v>
      </c>
      <c r="H2586" s="1793" t="s">
        <v>2474</v>
      </c>
      <c r="I2586" s="1794" t="s">
        <v>2475</v>
      </c>
      <c r="J2586" s="1795"/>
    </row>
    <row r="2587" spans="1:10" ht="24">
      <c r="A2587" s="1797" t="s">
        <v>2476</v>
      </c>
      <c r="B2587" s="1798" t="s">
        <v>2479</v>
      </c>
      <c r="C2587" s="1798">
        <v>370</v>
      </c>
      <c r="D2587" s="1799" t="s">
        <v>2619</v>
      </c>
      <c r="E2587" s="1800" t="s">
        <v>1171</v>
      </c>
      <c r="F2587" s="1807">
        <v>7.0000000000000001E-3</v>
      </c>
      <c r="G2587" s="1801">
        <v>125</v>
      </c>
      <c r="H2587" s="1802">
        <f t="shared" ref="H2587:H2594" si="375">IF(E2587="H",G2587,TRUNC(G2587*(1-$K$7),2))</f>
        <v>124.36</v>
      </c>
      <c r="I2587" s="1803">
        <f t="shared" ref="I2587:I2594" si="376">TRUNC(H2587*F2587,2)</f>
        <v>0.87</v>
      </c>
      <c r="J2587" s="1795"/>
    </row>
    <row r="2588" spans="1:10" ht="36">
      <c r="A2588" s="1797" t="s">
        <v>2476</v>
      </c>
      <c r="B2588" s="1798" t="s">
        <v>2479</v>
      </c>
      <c r="C2588" s="1798">
        <v>34492</v>
      </c>
      <c r="D2588" s="1799" t="s">
        <v>2833</v>
      </c>
      <c r="E2588" s="1800" t="s">
        <v>1171</v>
      </c>
      <c r="F2588" s="1807">
        <v>0.05</v>
      </c>
      <c r="G2588" s="1801">
        <v>595</v>
      </c>
      <c r="H2588" s="1802">
        <f t="shared" si="375"/>
        <v>591.96</v>
      </c>
      <c r="I2588" s="1803">
        <f t="shared" si="376"/>
        <v>29.59</v>
      </c>
      <c r="J2588" s="1795"/>
    </row>
    <row r="2589" spans="1:10" ht="24">
      <c r="A2589" s="1797" t="s">
        <v>2476</v>
      </c>
      <c r="B2589" s="1798" t="s">
        <v>7</v>
      </c>
      <c r="C2589" s="1798">
        <v>88243</v>
      </c>
      <c r="D2589" s="1799" t="s">
        <v>2834</v>
      </c>
      <c r="E2589" s="1800" t="s">
        <v>411</v>
      </c>
      <c r="F2589" s="1807">
        <v>9.9000000000000005E-2</v>
      </c>
      <c r="G2589" s="1801">
        <v>20.53</v>
      </c>
      <c r="H2589" s="1802">
        <f t="shared" si="375"/>
        <v>20.53</v>
      </c>
      <c r="I2589" s="1803">
        <f t="shared" ref="I2589" si="377">TRUNC(H2589*F2589,2)</f>
        <v>2.0299999999999998</v>
      </c>
      <c r="J2589" s="1795"/>
    </row>
    <row r="2590" spans="1:10" ht="14.25" customHeight="1">
      <c r="A2590" s="1797" t="s">
        <v>2476</v>
      </c>
      <c r="B2590" s="1798" t="s">
        <v>7</v>
      </c>
      <c r="C2590" s="1798">
        <v>88309</v>
      </c>
      <c r="D2590" s="1799" t="s">
        <v>103</v>
      </c>
      <c r="E2590" s="1800" t="s">
        <v>411</v>
      </c>
      <c r="F2590" s="1807">
        <v>0.23400000000000001</v>
      </c>
      <c r="G2590" s="1801">
        <v>24.59</v>
      </c>
      <c r="H2590" s="1802">
        <f t="shared" si="375"/>
        <v>24.59</v>
      </c>
      <c r="I2590" s="1803">
        <f t="shared" si="376"/>
        <v>5.75</v>
      </c>
      <c r="J2590" s="1795"/>
    </row>
    <row r="2591" spans="1:10">
      <c r="A2591" s="1797" t="s">
        <v>2476</v>
      </c>
      <c r="B2591" s="1798" t="s">
        <v>7</v>
      </c>
      <c r="C2591" s="1798">
        <v>88316</v>
      </c>
      <c r="D2591" s="1799" t="s">
        <v>66</v>
      </c>
      <c r="E2591" s="1800" t="s">
        <v>411</v>
      </c>
      <c r="F2591" s="1807">
        <v>0.46700000000000003</v>
      </c>
      <c r="G2591" s="1801">
        <v>19.45</v>
      </c>
      <c r="H2591" s="1802">
        <f t="shared" si="375"/>
        <v>19.45</v>
      </c>
      <c r="I2591" s="1803">
        <f t="shared" si="376"/>
        <v>9.08</v>
      </c>
      <c r="J2591" s="1795"/>
    </row>
    <row r="2592" spans="1:10" ht="24">
      <c r="A2592" s="1797" t="s">
        <v>2476</v>
      </c>
      <c r="B2592" s="1798" t="s">
        <v>7</v>
      </c>
      <c r="C2592" s="1798">
        <v>88631</v>
      </c>
      <c r="D2592" s="1799" t="s">
        <v>2835</v>
      </c>
      <c r="E2592" s="1800" t="s">
        <v>1171</v>
      </c>
      <c r="F2592" s="1807">
        <v>2E-3</v>
      </c>
      <c r="G2592" s="1801">
        <v>671.15</v>
      </c>
      <c r="H2592" s="1802">
        <f t="shared" si="375"/>
        <v>667.72</v>
      </c>
      <c r="I2592" s="1803">
        <f t="shared" si="376"/>
        <v>1.33</v>
      </c>
      <c r="J2592" s="1795"/>
    </row>
    <row r="2593" spans="1:12" ht="36">
      <c r="A2593" s="1797" t="s">
        <v>2476</v>
      </c>
      <c r="B2593" s="1798" t="s">
        <v>7</v>
      </c>
      <c r="C2593" s="1798">
        <v>92960</v>
      </c>
      <c r="D2593" s="1799" t="s">
        <v>2836</v>
      </c>
      <c r="E2593" s="1800" t="s">
        <v>456</v>
      </c>
      <c r="F2593" s="1807">
        <v>1.7000000000000001E-2</v>
      </c>
      <c r="G2593" s="1801">
        <v>19.97</v>
      </c>
      <c r="H2593" s="1802">
        <f t="shared" si="375"/>
        <v>19.86</v>
      </c>
      <c r="I2593" s="1803">
        <f t="shared" si="376"/>
        <v>0.33</v>
      </c>
      <c r="J2593" s="1795"/>
    </row>
    <row r="2594" spans="1:12" ht="36">
      <c r="A2594" s="1797" t="s">
        <v>2476</v>
      </c>
      <c r="B2594" s="1798" t="s">
        <v>7</v>
      </c>
      <c r="C2594" s="1798">
        <v>92961</v>
      </c>
      <c r="D2594" s="1799" t="s">
        <v>2837</v>
      </c>
      <c r="E2594" s="1800" t="s">
        <v>577</v>
      </c>
      <c r="F2594" s="1807">
        <v>8.3000000000000004E-2</v>
      </c>
      <c r="G2594" s="1801">
        <v>4.8600000000000003</v>
      </c>
      <c r="H2594" s="1802">
        <f t="shared" si="375"/>
        <v>4.83</v>
      </c>
      <c r="I2594" s="1803">
        <f t="shared" si="376"/>
        <v>0.4</v>
      </c>
      <c r="J2594" s="1795"/>
    </row>
    <row r="2595" spans="1:12">
      <c r="A2595" s="1943" t="s">
        <v>2477</v>
      </c>
      <c r="B2595" s="1944"/>
      <c r="C2595" s="1944"/>
      <c r="D2595" s="1944"/>
      <c r="E2595" s="1944"/>
      <c r="F2595" s="1944"/>
      <c r="G2595" s="1944"/>
      <c r="H2595" s="1945"/>
      <c r="I2595" s="1805">
        <f>SUM(I2587:I2594)</f>
        <v>49.379999999999995</v>
      </c>
      <c r="J2595" s="1795"/>
    </row>
    <row r="2596" spans="1:12">
      <c r="A2596" s="1929"/>
      <c r="B2596" s="1930"/>
      <c r="C2596" s="1930"/>
      <c r="D2596" s="1930"/>
      <c r="E2596" s="1930"/>
      <c r="F2596" s="1930"/>
      <c r="G2596" s="1930"/>
      <c r="H2596" s="1930"/>
      <c r="I2596" s="1931"/>
      <c r="J2596" s="1795"/>
    </row>
    <row r="2597" spans="1:12">
      <c r="A2597" s="1784" t="str">
        <f>'PLANILHA SEM DESON'!B416</f>
        <v>COMP 26</v>
      </c>
      <c r="B2597" s="1940" t="str">
        <f>VLOOKUP(A2597,'PLANILHA SEM DESON'!$B$17:$D$1700,2,FALSE)</f>
        <v>FORNECIMENTO E ESPALHAMENTO DE TERRA VEGETAL PREPARADA</v>
      </c>
      <c r="C2597" s="1941"/>
      <c r="D2597" s="1941"/>
      <c r="E2597" s="1941"/>
      <c r="F2597" s="1941"/>
      <c r="G2597" s="1941"/>
      <c r="H2597" s="1942"/>
      <c r="I2597" s="1785" t="str">
        <f>VLOOKUP(A2597,'PLANILHA SEM DESON'!$B$17:$D$1700,3,FALSE)</f>
        <v>m³</v>
      </c>
      <c r="J2597" s="1786">
        <f>I2601</f>
        <v>191.45000000000002</v>
      </c>
    </row>
    <row r="2598" spans="1:12" ht="24">
      <c r="A2598" s="1788" t="s">
        <v>2470</v>
      </c>
      <c r="B2598" s="1789" t="s">
        <v>2471</v>
      </c>
      <c r="C2598" s="1790" t="s">
        <v>2468</v>
      </c>
      <c r="D2598" s="1791" t="s">
        <v>308</v>
      </c>
      <c r="E2598" s="1790" t="s">
        <v>202</v>
      </c>
      <c r="F2598" s="1792" t="s">
        <v>2472</v>
      </c>
      <c r="G2598" s="1790" t="s">
        <v>2473</v>
      </c>
      <c r="H2598" s="1793" t="s">
        <v>2474</v>
      </c>
      <c r="I2598" s="1794" t="s">
        <v>2475</v>
      </c>
      <c r="J2598" s="1795"/>
    </row>
    <row r="2599" spans="1:12">
      <c r="A2599" s="1797"/>
      <c r="B2599" s="1798"/>
      <c r="C2599" s="1798">
        <v>88316</v>
      </c>
      <c r="D2599" s="1799" t="s">
        <v>66</v>
      </c>
      <c r="E2599" s="1800" t="s">
        <v>57</v>
      </c>
      <c r="F2599" s="1809">
        <v>2.5</v>
      </c>
      <c r="G2599" s="1808">
        <v>19.45</v>
      </c>
      <c r="H2599" s="1802">
        <f>IF(E2599="H",G2599,TRUNC(G2599*(1-$K$7),2))</f>
        <v>19.45</v>
      </c>
      <c r="I2599" s="1803">
        <f t="shared" ref="I2599:I2600" si="378">TRUNC(H2599*F2599,2)</f>
        <v>48.62</v>
      </c>
      <c r="J2599" s="1795"/>
    </row>
    <row r="2600" spans="1:12">
      <c r="A2600" s="1797"/>
      <c r="B2600" s="1798"/>
      <c r="C2600" s="1798">
        <v>7253</v>
      </c>
      <c r="D2600" s="1799" t="s">
        <v>1659</v>
      </c>
      <c r="E2600" s="1800" t="s">
        <v>47</v>
      </c>
      <c r="F2600" s="1806">
        <v>1</v>
      </c>
      <c r="G2600" s="1806">
        <v>143.57</v>
      </c>
      <c r="H2600" s="1802">
        <f>IF(E2600="H",G2600,TRUNC(G2600*(1-$K$7),2))</f>
        <v>142.83000000000001</v>
      </c>
      <c r="I2600" s="1803">
        <f t="shared" si="378"/>
        <v>142.83000000000001</v>
      </c>
      <c r="J2600" s="1795"/>
    </row>
    <row r="2601" spans="1:12">
      <c r="A2601" s="1943" t="s">
        <v>2477</v>
      </c>
      <c r="B2601" s="1944"/>
      <c r="C2601" s="1944"/>
      <c r="D2601" s="1944"/>
      <c r="E2601" s="1944"/>
      <c r="F2601" s="1944"/>
      <c r="G2601" s="1944"/>
      <c r="H2601" s="1945"/>
      <c r="I2601" s="1805">
        <f>SUM(I2599:I2600)</f>
        <v>191.45000000000002</v>
      </c>
      <c r="J2601" s="1795"/>
    </row>
    <row r="2602" spans="1:12">
      <c r="A2602" s="1929"/>
      <c r="B2602" s="1930"/>
      <c r="C2602" s="1930"/>
      <c r="D2602" s="1930"/>
      <c r="E2602" s="1930"/>
      <c r="F2602" s="1930"/>
      <c r="G2602" s="1930"/>
      <c r="H2602" s="1930"/>
      <c r="I2602" s="1931"/>
      <c r="J2602" s="1795"/>
    </row>
    <row r="2603" spans="1:12">
      <c r="A2603" s="1784">
        <f>'PLANILHA SEM DESON'!B417</f>
        <v>98504</v>
      </c>
      <c r="B2603" s="1940" t="str">
        <f>VLOOKUP(A2603,'PLANILHA SEM DESON'!$B$17:$D$1700,2,FALSE)</f>
        <v>PLANTIO DE GRAMA EM PLACAS. AF_05/2018</v>
      </c>
      <c r="C2603" s="1941"/>
      <c r="D2603" s="1941"/>
      <c r="E2603" s="1941"/>
      <c r="F2603" s="1941"/>
      <c r="G2603" s="1941"/>
      <c r="H2603" s="1942"/>
      <c r="I2603" s="1785" t="str">
        <f>VLOOKUP(A2603,'PLANILHA SEM DESON'!$B$17:$D$1700,3,FALSE)</f>
        <v>m²</v>
      </c>
      <c r="J2603" s="1786">
        <f>I2608</f>
        <v>11.879999999999999</v>
      </c>
    </row>
    <row r="2604" spans="1:12" ht="24">
      <c r="A2604" s="1788" t="s">
        <v>2470</v>
      </c>
      <c r="B2604" s="1789" t="s">
        <v>2471</v>
      </c>
      <c r="C2604" s="1790" t="s">
        <v>2468</v>
      </c>
      <c r="D2604" s="1791" t="s">
        <v>308</v>
      </c>
      <c r="E2604" s="1790" t="s">
        <v>202</v>
      </c>
      <c r="F2604" s="1792" t="s">
        <v>2472</v>
      </c>
      <c r="G2604" s="1790" t="s">
        <v>2473</v>
      </c>
      <c r="H2604" s="1793" t="s">
        <v>2474</v>
      </c>
      <c r="I2604" s="1794" t="s">
        <v>2475</v>
      </c>
      <c r="J2604" s="1795"/>
    </row>
    <row r="2605" spans="1:12">
      <c r="A2605" s="1797" t="s">
        <v>2845</v>
      </c>
      <c r="B2605" s="1798" t="s">
        <v>65</v>
      </c>
      <c r="C2605" s="1798" t="s">
        <v>2846</v>
      </c>
      <c r="D2605" s="1799" t="s">
        <v>2838</v>
      </c>
      <c r="E2605" s="1800" t="s">
        <v>1176</v>
      </c>
      <c r="F2605" s="1807">
        <v>1</v>
      </c>
      <c r="G2605" s="1801">
        <v>8.0649999999999995</v>
      </c>
      <c r="H2605" s="1802">
        <f>IF(E2605="H",G2605,TRUNC(G2605*(1-$K$7),2))</f>
        <v>8.02</v>
      </c>
      <c r="I2605" s="1803">
        <f t="shared" ref="I2605:I2607" si="379">TRUNC(H2605*F2605,2)</f>
        <v>8.02</v>
      </c>
      <c r="J2605" s="1795"/>
      <c r="L2605">
        <f>'PLANILHA SEM DESON'!I417</f>
        <v>14.52</v>
      </c>
    </row>
    <row r="2606" spans="1:12">
      <c r="A2606" s="1797" t="s">
        <v>2476</v>
      </c>
      <c r="B2606" s="1798" t="s">
        <v>7</v>
      </c>
      <c r="C2606" s="1798">
        <v>88316</v>
      </c>
      <c r="D2606" s="1799" t="s">
        <v>66</v>
      </c>
      <c r="E2606" s="1800" t="s">
        <v>411</v>
      </c>
      <c r="F2606" s="1807">
        <v>0.15640000000000001</v>
      </c>
      <c r="G2606" s="1801">
        <v>19.45</v>
      </c>
      <c r="H2606" s="1802">
        <f>IF(E2606="H",G2606,TRUNC(G2606*(1-$K$7),2))</f>
        <v>19.45</v>
      </c>
      <c r="I2606" s="1803">
        <f t="shared" si="379"/>
        <v>3.04</v>
      </c>
      <c r="J2606" s="1795"/>
    </row>
    <row r="2607" spans="1:12">
      <c r="A2607" s="1797" t="s">
        <v>2476</v>
      </c>
      <c r="B2607" s="1798" t="s">
        <v>7</v>
      </c>
      <c r="C2607" s="1798">
        <v>88441</v>
      </c>
      <c r="D2607" s="1799" t="s">
        <v>2480</v>
      </c>
      <c r="E2607" s="1800" t="s">
        <v>411</v>
      </c>
      <c r="F2607" s="1807">
        <v>3.9100000000000003E-2</v>
      </c>
      <c r="G2607" s="1801">
        <v>21.15</v>
      </c>
      <c r="H2607" s="1802">
        <f>IF(E2607="H",G2607,TRUNC(G2607*(1-$K$7),2))</f>
        <v>21.15</v>
      </c>
      <c r="I2607" s="1803">
        <f t="shared" si="379"/>
        <v>0.82</v>
      </c>
      <c r="J2607" s="1795"/>
    </row>
    <row r="2608" spans="1:12">
      <c r="A2608" s="1943" t="s">
        <v>2477</v>
      </c>
      <c r="B2608" s="1944"/>
      <c r="C2608" s="1944"/>
      <c r="D2608" s="1944"/>
      <c r="E2608" s="1944"/>
      <c r="F2608" s="1944"/>
      <c r="G2608" s="1944"/>
      <c r="H2608" s="1945"/>
      <c r="I2608" s="1805">
        <f>SUM(I2605:I2607)</f>
        <v>11.879999999999999</v>
      </c>
      <c r="J2608" s="1795"/>
    </row>
    <row r="2609" spans="1:13">
      <c r="A2609" s="1929"/>
      <c r="B2609" s="1930"/>
      <c r="C2609" s="1930"/>
      <c r="D2609" s="1930"/>
      <c r="E2609" s="1930"/>
      <c r="F2609" s="1930"/>
      <c r="G2609" s="1930"/>
      <c r="H2609" s="1930"/>
      <c r="I2609" s="1931"/>
      <c r="J2609" s="1795"/>
    </row>
    <row r="2610" spans="1:13">
      <c r="A2610" s="1784">
        <f>'PLANILHA SEM DESON'!B418</f>
        <v>98510</v>
      </c>
      <c r="B2610" s="1940" t="str">
        <f>VLOOKUP(A2610,'PLANILHA SEM DESON'!$B$17:$D$1700,2,FALSE)</f>
        <v>PLANTIO DE ÁRVORE ORNAMENTAL COM ALTURA DE MUDA MENOR OU IGUAL A 2,00 M. AF_05/2018</v>
      </c>
      <c r="C2610" s="1941"/>
      <c r="D2610" s="1941"/>
      <c r="E2610" s="1941"/>
      <c r="F2610" s="1941"/>
      <c r="G2610" s="1941"/>
      <c r="H2610" s="1942"/>
      <c r="I2610" s="1785" t="str">
        <f>VLOOKUP(A2610,'PLANILHA SEM DESON'!$B$17:$D$1700,3,FALSE)</f>
        <v xml:space="preserve">un </v>
      </c>
      <c r="J2610" s="1786">
        <f>I2615</f>
        <v>83.960000000000008</v>
      </c>
    </row>
    <row r="2611" spans="1:13" ht="24">
      <c r="A2611" s="1788" t="s">
        <v>2470</v>
      </c>
      <c r="B2611" s="1789" t="s">
        <v>2471</v>
      </c>
      <c r="C2611" s="1790" t="s">
        <v>2468</v>
      </c>
      <c r="D2611" s="1791" t="s">
        <v>308</v>
      </c>
      <c r="E2611" s="1790" t="s">
        <v>202</v>
      </c>
      <c r="F2611" s="1792" t="s">
        <v>2472</v>
      </c>
      <c r="G2611" s="1790" t="s">
        <v>2473</v>
      </c>
      <c r="H2611" s="1793" t="s">
        <v>2474</v>
      </c>
      <c r="I2611" s="1794" t="s">
        <v>2475</v>
      </c>
      <c r="J2611" s="1795"/>
    </row>
    <row r="2612" spans="1:13" ht="36">
      <c r="A2612" s="1797" t="s">
        <v>2845</v>
      </c>
      <c r="B2612" s="1798" t="s">
        <v>65</v>
      </c>
      <c r="C2612" s="1798" t="s">
        <v>2846</v>
      </c>
      <c r="D2612" s="1799" t="s">
        <v>2839</v>
      </c>
      <c r="E2612" s="1800" t="s">
        <v>2501</v>
      </c>
      <c r="F2612" s="1807">
        <v>1</v>
      </c>
      <c r="G2612" s="1801">
        <v>66.319999999999993</v>
      </c>
      <c r="H2612" s="1802">
        <f>IF(E2612="H",G2612,TRUNC(G2612*(1-$K$7),2))</f>
        <v>65.98</v>
      </c>
      <c r="I2612" s="1803">
        <f t="shared" ref="I2612:I2614" si="380">TRUNC(H2612*F2612,2)</f>
        <v>65.98</v>
      </c>
      <c r="J2612" s="1795"/>
    </row>
    <row r="2613" spans="1:13">
      <c r="A2613" s="1797" t="s">
        <v>2476</v>
      </c>
      <c r="B2613" s="1798" t="s">
        <v>7</v>
      </c>
      <c r="C2613" s="1798">
        <v>88316</v>
      </c>
      <c r="D2613" s="1799" t="s">
        <v>66</v>
      </c>
      <c r="E2613" s="1800" t="s">
        <v>411</v>
      </c>
      <c r="F2613" s="1807">
        <v>0.72719999999999996</v>
      </c>
      <c r="G2613" s="1801">
        <v>19.45</v>
      </c>
      <c r="H2613" s="1802">
        <f>IF(E2613="H",G2613,TRUNC(G2613*(1-$K$7),2))</f>
        <v>19.45</v>
      </c>
      <c r="I2613" s="1803">
        <f t="shared" si="380"/>
        <v>14.14</v>
      </c>
      <c r="J2613" s="1795"/>
    </row>
    <row r="2614" spans="1:13">
      <c r="A2614" s="1797" t="s">
        <v>2476</v>
      </c>
      <c r="B2614" s="1798" t="s">
        <v>7</v>
      </c>
      <c r="C2614" s="1798">
        <v>88441</v>
      </c>
      <c r="D2614" s="1799" t="s">
        <v>2480</v>
      </c>
      <c r="E2614" s="1800" t="s">
        <v>411</v>
      </c>
      <c r="F2614" s="1807">
        <v>0.18179999999999999</v>
      </c>
      <c r="G2614" s="1801">
        <v>21.15</v>
      </c>
      <c r="H2614" s="1802">
        <f>IF(E2614="H",G2614,TRUNC(G2614*(1-$K$7),2))</f>
        <v>21.15</v>
      </c>
      <c r="I2614" s="1803">
        <f t="shared" si="380"/>
        <v>3.84</v>
      </c>
      <c r="J2614" s="1795"/>
      <c r="L2614">
        <f>'PLANILHA SEM DESON'!I418</f>
        <v>102.62</v>
      </c>
    </row>
    <row r="2615" spans="1:13">
      <c r="A2615" s="1943" t="s">
        <v>2477</v>
      </c>
      <c r="B2615" s="1944"/>
      <c r="C2615" s="1944"/>
      <c r="D2615" s="1944"/>
      <c r="E2615" s="1944"/>
      <c r="F2615" s="1944"/>
      <c r="G2615" s="1944"/>
      <c r="H2615" s="1945"/>
      <c r="I2615" s="1805">
        <f>SUM(I2612:I2614)</f>
        <v>83.960000000000008</v>
      </c>
      <c r="J2615" s="1795"/>
    </row>
    <row r="2616" spans="1:13">
      <c r="A2616" s="1929"/>
      <c r="B2616" s="1930"/>
      <c r="C2616" s="1930"/>
      <c r="D2616" s="1930"/>
      <c r="E2616" s="1930"/>
      <c r="F2616" s="1930"/>
      <c r="G2616" s="1930"/>
      <c r="H2616" s="1930"/>
      <c r="I2616" s="1931"/>
      <c r="J2616" s="1795"/>
    </row>
    <row r="2617" spans="1:13">
      <c r="A2617" s="1784">
        <f>'PLANILHA SEM DESON'!B419</f>
        <v>98505</v>
      </c>
      <c r="B2617" s="1940" t="str">
        <f>VLOOKUP(A2617,'PLANILHA SEM DESON'!$B$17:$D$1700,2,FALSE)</f>
        <v>PLANTIO DE FORRAÇÃO. AF_05/2018</v>
      </c>
      <c r="C2617" s="1941"/>
      <c r="D2617" s="1941"/>
      <c r="E2617" s="1941"/>
      <c r="F2617" s="1941"/>
      <c r="G2617" s="1941"/>
      <c r="H2617" s="1942"/>
      <c r="I2617" s="1785" t="str">
        <f>VLOOKUP(A2617,'PLANILHA SEM DESON'!$B$17:$D$1700,3,FALSE)</f>
        <v>m²</v>
      </c>
      <c r="J2617" s="1786">
        <f>I2622</f>
        <v>85.46</v>
      </c>
    </row>
    <row r="2618" spans="1:13" ht="24">
      <c r="A2618" s="1788" t="s">
        <v>2470</v>
      </c>
      <c r="B2618" s="1789" t="s">
        <v>2471</v>
      </c>
      <c r="C2618" s="1790" t="s">
        <v>2468</v>
      </c>
      <c r="D2618" s="1791" t="s">
        <v>308</v>
      </c>
      <c r="E2618" s="1790" t="s">
        <v>202</v>
      </c>
      <c r="F2618" s="1792" t="s">
        <v>2472</v>
      </c>
      <c r="G2618" s="1790" t="s">
        <v>2473</v>
      </c>
      <c r="H2618" s="1793" t="s">
        <v>2474</v>
      </c>
      <c r="I2618" s="1794" t="s">
        <v>2475</v>
      </c>
      <c r="J2618" s="1795"/>
    </row>
    <row r="2619" spans="1:13" ht="36">
      <c r="A2619" s="1797" t="s">
        <v>2845</v>
      </c>
      <c r="B2619" s="1798" t="s">
        <v>65</v>
      </c>
      <c r="C2619" s="1798" t="s">
        <v>2846</v>
      </c>
      <c r="D2619" s="1799" t="s">
        <v>2840</v>
      </c>
      <c r="E2619" s="1800" t="s">
        <v>2501</v>
      </c>
      <c r="F2619" s="1807">
        <v>25</v>
      </c>
      <c r="G2619" s="1801">
        <v>3.23</v>
      </c>
      <c r="H2619" s="1802">
        <f>IF(E2619="H",G2619,TRUNC(G2619*(1-$K$7),2))</f>
        <v>3.21</v>
      </c>
      <c r="I2619" s="1803">
        <f t="shared" ref="I2619:I2621" si="381">TRUNC(H2619*F2619,2)</f>
        <v>80.25</v>
      </c>
      <c r="J2619" s="1795"/>
    </row>
    <row r="2620" spans="1:13">
      <c r="A2620" s="1797" t="s">
        <v>2476</v>
      </c>
      <c r="B2620" s="1798" t="s">
        <v>7</v>
      </c>
      <c r="C2620" s="1798">
        <v>88316</v>
      </c>
      <c r="D2620" s="1799" t="s">
        <v>66</v>
      </c>
      <c r="E2620" s="1800" t="s">
        <v>411</v>
      </c>
      <c r="F2620" s="1807">
        <v>0.21099999999999999</v>
      </c>
      <c r="G2620" s="1801">
        <v>19.45</v>
      </c>
      <c r="H2620" s="1802">
        <f>IF(E2620="H",G2620,TRUNC(G2620*(1-$K$7),2))</f>
        <v>19.45</v>
      </c>
      <c r="I2620" s="1803">
        <f t="shared" si="381"/>
        <v>4.0999999999999996</v>
      </c>
      <c r="J2620" s="1795"/>
      <c r="M2620">
        <f>'PLANILHA SEM DESON'!I419</f>
        <v>104.45</v>
      </c>
    </row>
    <row r="2621" spans="1:13">
      <c r="A2621" s="1797" t="s">
        <v>2476</v>
      </c>
      <c r="B2621" s="1798" t="s">
        <v>7</v>
      </c>
      <c r="C2621" s="1798">
        <v>88441</v>
      </c>
      <c r="D2621" s="1799" t="s">
        <v>2480</v>
      </c>
      <c r="E2621" s="1800" t="s">
        <v>411</v>
      </c>
      <c r="F2621" s="1807">
        <v>5.28E-2</v>
      </c>
      <c r="G2621" s="1801">
        <v>21.15</v>
      </c>
      <c r="H2621" s="1802">
        <f>IF(E2621="H",G2621,TRUNC(G2621*(1-$K$7),2))</f>
        <v>21.15</v>
      </c>
      <c r="I2621" s="1803">
        <f t="shared" si="381"/>
        <v>1.1100000000000001</v>
      </c>
      <c r="J2621" s="1795"/>
    </row>
    <row r="2622" spans="1:13">
      <c r="A2622" s="1943" t="s">
        <v>2477</v>
      </c>
      <c r="B2622" s="1944"/>
      <c r="C2622" s="1944"/>
      <c r="D2622" s="1944"/>
      <c r="E2622" s="1944"/>
      <c r="F2622" s="1944"/>
      <c r="G2622" s="1944"/>
      <c r="H2622" s="1945"/>
      <c r="I2622" s="1805">
        <f>SUM(I2619:I2621)</f>
        <v>85.46</v>
      </c>
      <c r="J2622" s="1795"/>
    </row>
    <row r="2623" spans="1:13">
      <c r="A2623" s="1929"/>
      <c r="B2623" s="1930"/>
      <c r="C2623" s="1930"/>
      <c r="D2623" s="1930"/>
      <c r="E2623" s="1930"/>
      <c r="F2623" s="1930"/>
      <c r="G2623" s="1930"/>
      <c r="H2623" s="1930"/>
      <c r="I2623" s="1931"/>
      <c r="J2623" s="1795"/>
    </row>
    <row r="2624" spans="1:13">
      <c r="A2624" s="1784">
        <f>'PLANILHA SEM DESON'!B420</f>
        <v>101094</v>
      </c>
      <c r="B2624" s="1940" t="str">
        <f>VLOOKUP(A2624,'PLANILHA SEM DESON'!$B$17:$D$1700,2,FALSE)</f>
        <v>PISO PODOTÁTIL,DIRECIONAL OU ALERTA,ASSENTADO SOBRE ARGAMASSA.  AF_05/2020</v>
      </c>
      <c r="C2624" s="1941"/>
      <c r="D2624" s="1941"/>
      <c r="E2624" s="1941"/>
      <c r="F2624" s="1941"/>
      <c r="G2624" s="1941"/>
      <c r="H2624" s="1942"/>
      <c r="I2624" s="1785" t="str">
        <f>VLOOKUP(A2624,'PLANILHA SEM DESON'!$B$17:$D$1700,3,FALSE)</f>
        <v>m</v>
      </c>
      <c r="J2624" s="1786">
        <f>I2631</f>
        <v>179.92000000000002</v>
      </c>
    </row>
    <row r="2625" spans="1:14" ht="24">
      <c r="A2625" s="1788" t="s">
        <v>2470</v>
      </c>
      <c r="B2625" s="1789" t="s">
        <v>2471</v>
      </c>
      <c r="C2625" s="1790" t="s">
        <v>2468</v>
      </c>
      <c r="D2625" s="1791" t="s">
        <v>308</v>
      </c>
      <c r="E2625" s="1790" t="s">
        <v>202</v>
      </c>
      <c r="F2625" s="1792" t="s">
        <v>2472</v>
      </c>
      <c r="G2625" s="1790" t="s">
        <v>2473</v>
      </c>
      <c r="H2625" s="1793" t="s">
        <v>2474</v>
      </c>
      <c r="I2625" s="1794" t="s">
        <v>2475</v>
      </c>
      <c r="J2625" s="1795"/>
    </row>
    <row r="2626" spans="1:14">
      <c r="A2626" s="1797" t="s">
        <v>2476</v>
      </c>
      <c r="B2626" s="1798" t="s">
        <v>2479</v>
      </c>
      <c r="C2626" s="1798">
        <v>1379</v>
      </c>
      <c r="D2626" s="1799" t="s">
        <v>2620</v>
      </c>
      <c r="E2626" s="1800" t="s">
        <v>1184</v>
      </c>
      <c r="F2626" s="1807">
        <v>0.24</v>
      </c>
      <c r="G2626" s="1801">
        <v>0.94</v>
      </c>
      <c r="H2626" s="1802">
        <f>IF(E2626="H",G2626,TRUNC(G2626*(1-$K$7),2))</f>
        <v>0.93</v>
      </c>
      <c r="I2626" s="1803">
        <f t="shared" ref="I2626:I2630" si="382">TRUNC(H2626*F2626,2)</f>
        <v>0.22</v>
      </c>
      <c r="J2626" s="1795"/>
    </row>
    <row r="2627" spans="1:14">
      <c r="A2627" s="1797" t="s">
        <v>2476</v>
      </c>
      <c r="B2627" s="1798" t="s">
        <v>2479</v>
      </c>
      <c r="C2627" s="1798">
        <v>37595</v>
      </c>
      <c r="D2627" s="1799" t="s">
        <v>568</v>
      </c>
      <c r="E2627" s="1800" t="s">
        <v>1184</v>
      </c>
      <c r="F2627" s="1807">
        <v>1.2150000000000001</v>
      </c>
      <c r="G2627" s="1801">
        <v>3.07</v>
      </c>
      <c r="H2627" s="1802">
        <f>IF(E2627="H",G2627,TRUNC(G2627*(1-$K$7),2))</f>
        <v>3.05</v>
      </c>
      <c r="I2627" s="1803">
        <f t="shared" si="382"/>
        <v>3.7</v>
      </c>
      <c r="J2627" s="1795"/>
      <c r="N2627">
        <f>'PLANILHA SEM DESON'!I420</f>
        <v>219.91</v>
      </c>
    </row>
    <row r="2628" spans="1:14" ht="24">
      <c r="A2628" s="1797" t="s">
        <v>2845</v>
      </c>
      <c r="B2628" s="1798" t="s">
        <v>65</v>
      </c>
      <c r="C2628" s="1798" t="s">
        <v>2846</v>
      </c>
      <c r="D2628" s="1799" t="s">
        <v>2841</v>
      </c>
      <c r="E2628" s="1800" t="s">
        <v>1176</v>
      </c>
      <c r="F2628" s="1807">
        <v>0.25</v>
      </c>
      <c r="G2628" s="1801">
        <v>647.4</v>
      </c>
      <c r="H2628" s="1802">
        <f>IF(E2628="H",G2628,TRUNC(G2628*(1-$K$7),2))</f>
        <v>644.09</v>
      </c>
      <c r="I2628" s="1803">
        <f t="shared" si="382"/>
        <v>161.02000000000001</v>
      </c>
      <c r="J2628" s="1795"/>
    </row>
    <row r="2629" spans="1:14">
      <c r="A2629" s="1797" t="s">
        <v>2476</v>
      </c>
      <c r="B2629" s="1798" t="s">
        <v>7</v>
      </c>
      <c r="C2629" s="1798">
        <v>88309</v>
      </c>
      <c r="D2629" s="1799" t="s">
        <v>103</v>
      </c>
      <c r="E2629" s="1800" t="s">
        <v>411</v>
      </c>
      <c r="F2629" s="1807">
        <v>0.437</v>
      </c>
      <c r="G2629" s="1801">
        <v>24.59</v>
      </c>
      <c r="H2629" s="1802">
        <f>IF(E2629="H",G2629,TRUNC(G2629*(1-$K$7),2))</f>
        <v>24.59</v>
      </c>
      <c r="I2629" s="1803">
        <f t="shared" si="382"/>
        <v>10.74</v>
      </c>
      <c r="J2629" s="1795"/>
    </row>
    <row r="2630" spans="1:14">
      <c r="A2630" s="1797" t="s">
        <v>2476</v>
      </c>
      <c r="B2630" s="1798" t="s">
        <v>7</v>
      </c>
      <c r="C2630" s="1798">
        <v>88316</v>
      </c>
      <c r="D2630" s="1799" t="s">
        <v>66</v>
      </c>
      <c r="E2630" s="1800" t="s">
        <v>411</v>
      </c>
      <c r="F2630" s="1807">
        <v>0.218</v>
      </c>
      <c r="G2630" s="1801">
        <v>19.45</v>
      </c>
      <c r="H2630" s="1802">
        <f>IF(E2630="H",G2630,TRUNC(G2630*(1-$K$7),2))</f>
        <v>19.45</v>
      </c>
      <c r="I2630" s="1803">
        <f t="shared" si="382"/>
        <v>4.24</v>
      </c>
      <c r="J2630" s="1795"/>
    </row>
    <row r="2631" spans="1:14">
      <c r="A2631" s="1943" t="s">
        <v>2477</v>
      </c>
      <c r="B2631" s="1944"/>
      <c r="C2631" s="1944"/>
      <c r="D2631" s="1944"/>
      <c r="E2631" s="1944"/>
      <c r="F2631" s="1944"/>
      <c r="G2631" s="1944"/>
      <c r="H2631" s="1945"/>
      <c r="I2631" s="1805">
        <f>SUM(I2626:I2630)</f>
        <v>179.92000000000002</v>
      </c>
      <c r="J2631" s="1795"/>
    </row>
    <row r="2632" spans="1:14">
      <c r="A2632" s="1929"/>
      <c r="B2632" s="1930"/>
      <c r="C2632" s="1930"/>
      <c r="D2632" s="1930"/>
      <c r="E2632" s="1930"/>
      <c r="F2632" s="1930"/>
      <c r="G2632" s="1930"/>
      <c r="H2632" s="1930"/>
      <c r="I2632" s="1931"/>
      <c r="J2632" s="1795"/>
    </row>
    <row r="2633" spans="1:14" ht="25.5" customHeight="1">
      <c r="A2633" s="1784">
        <f>'PLANILHA SEM DESON'!B421</f>
        <v>102513</v>
      </c>
      <c r="B2633" s="1940" t="str">
        <f>VLOOKUP(A2633,'PLANILHA SEM DESON'!$B$17:$D$1700,2,FALSE)</f>
        <v>PINTURA DE SÍMBOLOS E TEXTOS COM TINTA ACRÍLICA, DEMARCAÇÃO COM FITA ADESIVA E APLICAÇÃO COM ROLO. AF_05/2021</v>
      </c>
      <c r="C2633" s="1941"/>
      <c r="D2633" s="1941"/>
      <c r="E2633" s="1941"/>
      <c r="F2633" s="1941"/>
      <c r="G2633" s="1941"/>
      <c r="H2633" s="1942"/>
      <c r="I2633" s="1785" t="str">
        <f>VLOOKUP(A2633,'PLANILHA SEM DESON'!$B$17:$D$1700,3,FALSE)</f>
        <v>m²</v>
      </c>
      <c r="J2633" s="1786">
        <f>I2639</f>
        <v>34.690000000000005</v>
      </c>
    </row>
    <row r="2634" spans="1:14" ht="24">
      <c r="A2634" s="1788" t="s">
        <v>2470</v>
      </c>
      <c r="B2634" s="1789" t="s">
        <v>2471</v>
      </c>
      <c r="C2634" s="1790" t="s">
        <v>2468</v>
      </c>
      <c r="D2634" s="1791" t="s">
        <v>308</v>
      </c>
      <c r="E2634" s="1790" t="s">
        <v>202</v>
      </c>
      <c r="F2634" s="1792" t="s">
        <v>2472</v>
      </c>
      <c r="G2634" s="1790" t="s">
        <v>2473</v>
      </c>
      <c r="H2634" s="1793" t="s">
        <v>2474</v>
      </c>
      <c r="I2634" s="1794" t="s">
        <v>2475</v>
      </c>
      <c r="J2634" s="1795"/>
      <c r="N2634">
        <f>'PLANILHA SEM DESON'!I421</f>
        <v>42.4</v>
      </c>
    </row>
    <row r="2635" spans="1:14">
      <c r="A2635" s="1797" t="s">
        <v>2476</v>
      </c>
      <c r="B2635" s="1798" t="s">
        <v>2479</v>
      </c>
      <c r="C2635" s="1798">
        <v>7348</v>
      </c>
      <c r="D2635" s="1799" t="s">
        <v>2842</v>
      </c>
      <c r="E2635" s="1800" t="s">
        <v>455</v>
      </c>
      <c r="F2635" s="1807">
        <v>0.42699999999999999</v>
      </c>
      <c r="G2635" s="1801">
        <v>18.02</v>
      </c>
      <c r="H2635" s="1802">
        <f>IF(E2635="H",G2635,TRUNC(G2635*(1-$K$7),2))</f>
        <v>17.920000000000002</v>
      </c>
      <c r="I2635" s="1803">
        <f t="shared" ref="I2635:I2638" si="383">TRUNC(H2635*F2635,2)</f>
        <v>7.65</v>
      </c>
      <c r="J2635" s="1795"/>
    </row>
    <row r="2636" spans="1:14">
      <c r="A2636" s="1797" t="s">
        <v>2476</v>
      </c>
      <c r="B2636" s="1798" t="s">
        <v>2479</v>
      </c>
      <c r="C2636" s="1798">
        <v>12815</v>
      </c>
      <c r="D2636" s="1799" t="s">
        <v>2843</v>
      </c>
      <c r="E2636" s="1800" t="s">
        <v>2501</v>
      </c>
      <c r="F2636" s="1807">
        <v>0.23</v>
      </c>
      <c r="G2636" s="1801">
        <v>10.48</v>
      </c>
      <c r="H2636" s="1802">
        <f>IF(E2636="H",G2636,TRUNC(G2636*(1-$K$7),2))</f>
        <v>10.42</v>
      </c>
      <c r="I2636" s="1803">
        <f t="shared" si="383"/>
        <v>2.39</v>
      </c>
      <c r="J2636" s="1795"/>
    </row>
    <row r="2637" spans="1:14">
      <c r="A2637" s="1797" t="s">
        <v>2476</v>
      </c>
      <c r="B2637" s="1798" t="s">
        <v>7</v>
      </c>
      <c r="C2637" s="1798">
        <v>88310</v>
      </c>
      <c r="D2637" s="1799" t="s">
        <v>127</v>
      </c>
      <c r="E2637" s="1800" t="s">
        <v>411</v>
      </c>
      <c r="F2637" s="1807">
        <v>0.65800000000000003</v>
      </c>
      <c r="G2637" s="1801">
        <v>25.64</v>
      </c>
      <c r="H2637" s="1802">
        <f>IF(E2637="H",G2637,TRUNC(G2637*(1-$K$7),2))</f>
        <v>25.64</v>
      </c>
      <c r="I2637" s="1803">
        <f t="shared" si="383"/>
        <v>16.87</v>
      </c>
      <c r="J2637" s="1795"/>
    </row>
    <row r="2638" spans="1:14">
      <c r="A2638" s="1797" t="s">
        <v>2476</v>
      </c>
      <c r="B2638" s="1798" t="s">
        <v>7</v>
      </c>
      <c r="C2638" s="1798">
        <v>88316</v>
      </c>
      <c r="D2638" s="1799" t="s">
        <v>66</v>
      </c>
      <c r="E2638" s="1800" t="s">
        <v>411</v>
      </c>
      <c r="F2638" s="1807">
        <v>0.4</v>
      </c>
      <c r="G2638" s="1801">
        <v>19.45</v>
      </c>
      <c r="H2638" s="1802">
        <f>IF(E2638="H",G2638,TRUNC(G2638*(1-$K$7),2))</f>
        <v>19.45</v>
      </c>
      <c r="I2638" s="1803">
        <f t="shared" si="383"/>
        <v>7.78</v>
      </c>
      <c r="J2638" s="1795"/>
    </row>
    <row r="2639" spans="1:14">
      <c r="A2639" s="1943" t="s">
        <v>2477</v>
      </c>
      <c r="B2639" s="1944"/>
      <c r="C2639" s="1944"/>
      <c r="D2639" s="1944"/>
      <c r="E2639" s="1944"/>
      <c r="F2639" s="1944"/>
      <c r="G2639" s="1944"/>
      <c r="H2639" s="1945"/>
      <c r="I2639" s="1805">
        <f>SUM(I2635:I2638)</f>
        <v>34.690000000000005</v>
      </c>
      <c r="J2639" s="1795"/>
    </row>
    <row r="2640" spans="1:14">
      <c r="A2640" s="1929"/>
      <c r="B2640" s="1930"/>
      <c r="C2640" s="1930"/>
      <c r="D2640" s="1930"/>
      <c r="E2640" s="1930"/>
      <c r="F2640" s="1930"/>
      <c r="G2640" s="1930"/>
      <c r="H2640" s="1930"/>
      <c r="I2640" s="1931"/>
      <c r="J2640" s="1795"/>
    </row>
    <row r="2641" spans="1:14">
      <c r="A2641" s="1784">
        <f>'PLANILHA SEM DESON'!B422</f>
        <v>102500</v>
      </c>
      <c r="B2641" s="1940" t="str">
        <f>VLOOKUP(A2641,'PLANILHA SEM DESON'!$B$17:$D$1700,2,FALSE)</f>
        <v>PINTURA DE DEMARCAÇÃO DE VAGA COM TINTA ACRÍLICA, E = 10 CM, APLICAÇÃO MANUAL. AF_05/2021</v>
      </c>
      <c r="C2641" s="1941"/>
      <c r="D2641" s="1941"/>
      <c r="E2641" s="1941"/>
      <c r="F2641" s="1941"/>
      <c r="G2641" s="1941"/>
      <c r="H2641" s="1942"/>
      <c r="I2641" s="1785" t="str">
        <f>VLOOKUP(A2641,'PLANILHA SEM DESON'!$B$17:$D$1700,3,FALSE)</f>
        <v>m</v>
      </c>
      <c r="J2641" s="1786">
        <f>I2647</f>
        <v>3.2399999999999998</v>
      </c>
    </row>
    <row r="2642" spans="1:14" ht="24">
      <c r="A2642" s="1788" t="s">
        <v>2470</v>
      </c>
      <c r="B2642" s="1789" t="s">
        <v>2471</v>
      </c>
      <c r="C2642" s="1790" t="s">
        <v>2468</v>
      </c>
      <c r="D2642" s="1791" t="s">
        <v>308</v>
      </c>
      <c r="E2642" s="1790" t="s">
        <v>202</v>
      </c>
      <c r="F2642" s="1792" t="s">
        <v>2472</v>
      </c>
      <c r="G2642" s="1790" t="s">
        <v>2473</v>
      </c>
      <c r="H2642" s="1793" t="s">
        <v>2474</v>
      </c>
      <c r="I2642" s="1794" t="s">
        <v>2475</v>
      </c>
      <c r="J2642" s="1795"/>
    </row>
    <row r="2643" spans="1:14">
      <c r="A2643" s="1797"/>
      <c r="B2643" s="1798" t="s">
        <v>2479</v>
      </c>
      <c r="C2643" s="1798">
        <v>7348</v>
      </c>
      <c r="D2643" s="1799" t="s">
        <v>2842</v>
      </c>
      <c r="E2643" s="1800" t="s">
        <v>455</v>
      </c>
      <c r="F2643" s="1807">
        <v>4.2999999999999997E-2</v>
      </c>
      <c r="G2643" s="1801">
        <v>18.02</v>
      </c>
      <c r="H2643" s="1802">
        <f>IF(E2643="H",G2643,TRUNC(G2643*(1-$K$7),2))</f>
        <v>17.920000000000002</v>
      </c>
      <c r="I2643" s="1803">
        <f t="shared" ref="I2643:I2646" si="384">TRUNC(H2643*F2643,2)</f>
        <v>0.77</v>
      </c>
      <c r="J2643" s="1795"/>
      <c r="N2643">
        <f>'PLANILHA SEM DESON'!I422</f>
        <v>3.96</v>
      </c>
    </row>
    <row r="2644" spans="1:14">
      <c r="A2644" s="1797"/>
      <c r="B2644" s="1798" t="s">
        <v>2479</v>
      </c>
      <c r="C2644" s="1798">
        <v>12815</v>
      </c>
      <c r="D2644" s="1799" t="s">
        <v>2843</v>
      </c>
      <c r="E2644" s="1800" t="s">
        <v>2501</v>
      </c>
      <c r="F2644" s="1807">
        <v>0.04</v>
      </c>
      <c r="G2644" s="1801">
        <v>10.48</v>
      </c>
      <c r="H2644" s="1802">
        <f>IF(E2644="H",G2644,TRUNC(G2644*(1-$K$7),2))</f>
        <v>10.42</v>
      </c>
      <c r="I2644" s="1803">
        <f t="shared" si="384"/>
        <v>0.41</v>
      </c>
      <c r="J2644" s="1795"/>
    </row>
    <row r="2645" spans="1:14">
      <c r="A2645" s="1797"/>
      <c r="B2645" s="1798" t="s">
        <v>7</v>
      </c>
      <c r="C2645" s="1798">
        <v>88310</v>
      </c>
      <c r="D2645" s="1799" t="s">
        <v>127</v>
      </c>
      <c r="E2645" s="1800" t="s">
        <v>411</v>
      </c>
      <c r="F2645" s="1807">
        <v>5.3999999999999999E-2</v>
      </c>
      <c r="G2645" s="1801">
        <v>25.64</v>
      </c>
      <c r="H2645" s="1802">
        <f>IF(E2645="H",G2645,TRUNC(G2645*(1-$K$7),2))</f>
        <v>25.64</v>
      </c>
      <c r="I2645" s="1803">
        <f t="shared" si="384"/>
        <v>1.38</v>
      </c>
      <c r="J2645" s="1795"/>
    </row>
    <row r="2646" spans="1:14">
      <c r="A2646" s="1797"/>
      <c r="B2646" s="1798" t="s">
        <v>7</v>
      </c>
      <c r="C2646" s="1798">
        <v>88316</v>
      </c>
      <c r="D2646" s="1799" t="s">
        <v>66</v>
      </c>
      <c r="E2646" s="1800" t="s">
        <v>411</v>
      </c>
      <c r="F2646" s="1807">
        <v>3.5000000000000003E-2</v>
      </c>
      <c r="G2646" s="1801">
        <v>19.45</v>
      </c>
      <c r="H2646" s="1802">
        <f>IF(E2646="H",G2646,TRUNC(G2646*(1-$K$7),2))</f>
        <v>19.45</v>
      </c>
      <c r="I2646" s="1803">
        <f t="shared" si="384"/>
        <v>0.68</v>
      </c>
      <c r="J2646" s="1795"/>
    </row>
    <row r="2647" spans="1:14">
      <c r="A2647" s="1943" t="s">
        <v>2477</v>
      </c>
      <c r="B2647" s="1944"/>
      <c r="C2647" s="1944"/>
      <c r="D2647" s="1944"/>
      <c r="E2647" s="1944"/>
      <c r="F2647" s="1944"/>
      <c r="G2647" s="1944"/>
      <c r="H2647" s="1945"/>
      <c r="I2647" s="1805">
        <f>SUM(I2643:I2646)</f>
        <v>3.2399999999999998</v>
      </c>
      <c r="J2647" s="1795"/>
    </row>
    <row r="2648" spans="1:14">
      <c r="A2648" s="1929"/>
      <c r="B2648" s="1930"/>
      <c r="C2648" s="1930"/>
      <c r="D2648" s="1930"/>
      <c r="E2648" s="1930"/>
      <c r="F2648" s="1930"/>
      <c r="G2648" s="1930"/>
      <c r="H2648" s="1930"/>
      <c r="I2648" s="1931"/>
      <c r="J2648" s="1795"/>
    </row>
    <row r="2649" spans="1:14">
      <c r="A2649" s="1784" t="str">
        <f>'PLANILHA SEM DESON'!B423</f>
        <v>COMP 33</v>
      </c>
      <c r="B2649" s="1940" t="str">
        <f>VLOOKUP(A2649,'PLANILHA SEM DESON'!$B$17:$D$1700,2,FALSE)</f>
        <v>PLACA DE INAUGURAÇÃO - FORNECIMENTO E INSTALAÇÃO</v>
      </c>
      <c r="C2649" s="1941"/>
      <c r="D2649" s="1941"/>
      <c r="E2649" s="1941"/>
      <c r="F2649" s="1941"/>
      <c r="G2649" s="1941"/>
      <c r="H2649" s="1942"/>
      <c r="I2649" s="1785" t="str">
        <f>VLOOKUP(A2649,'PLANILHA SEM DESON'!$B$17:$D$1700,3,FALSE)</f>
        <v xml:space="preserve">un </v>
      </c>
      <c r="J2649" s="1786">
        <f>I2654</f>
        <v>987.27</v>
      </c>
    </row>
    <row r="2650" spans="1:14" ht="24">
      <c r="A2650" s="1788" t="s">
        <v>2470</v>
      </c>
      <c r="B2650" s="1789" t="s">
        <v>2471</v>
      </c>
      <c r="C2650" s="1790" t="s">
        <v>2468</v>
      </c>
      <c r="D2650" s="1791" t="s">
        <v>308</v>
      </c>
      <c r="E2650" s="1790" t="s">
        <v>202</v>
      </c>
      <c r="F2650" s="1792" t="s">
        <v>2472</v>
      </c>
      <c r="G2650" s="1790" t="s">
        <v>2473</v>
      </c>
      <c r="H2650" s="1793" t="s">
        <v>2474</v>
      </c>
      <c r="I2650" s="1794" t="s">
        <v>2475</v>
      </c>
      <c r="J2650" s="1795"/>
    </row>
    <row r="2651" spans="1:14">
      <c r="A2651" s="1797"/>
      <c r="B2651" s="1798"/>
      <c r="C2651" s="1798">
        <v>88309</v>
      </c>
      <c r="D2651" s="1799" t="s">
        <v>103</v>
      </c>
      <c r="E2651" s="1800" t="s">
        <v>57</v>
      </c>
      <c r="F2651" s="1809">
        <v>0.25</v>
      </c>
      <c r="G2651" s="1807">
        <v>24.59</v>
      </c>
      <c r="H2651" s="1802">
        <f>IF(E2651="H",G2651,TRUNC(G2651*(1-$K$7),2))</f>
        <v>24.59</v>
      </c>
      <c r="I2651" s="1803">
        <f t="shared" ref="I2651:I2653" si="385">TRUNC(H2651*F2651,2)</f>
        <v>6.14</v>
      </c>
      <c r="J2651" s="1795"/>
    </row>
    <row r="2652" spans="1:14" ht="24">
      <c r="A2652" s="1797" t="s">
        <v>2845</v>
      </c>
      <c r="B2652" s="1798" t="s">
        <v>65</v>
      </c>
      <c r="C2652" s="1798" t="s">
        <v>2846</v>
      </c>
      <c r="D2652" s="1799" t="s">
        <v>2455</v>
      </c>
      <c r="E2652" s="1800" t="s">
        <v>55</v>
      </c>
      <c r="F2652" s="1811">
        <v>1</v>
      </c>
      <c r="G2652" s="1806">
        <v>985.4</v>
      </c>
      <c r="H2652" s="1802">
        <f>IF(E2652="H",G2652,TRUNC(G2652*(1-$K$7),2))</f>
        <v>980.37</v>
      </c>
      <c r="I2652" s="1803">
        <f t="shared" si="385"/>
        <v>980.37</v>
      </c>
      <c r="J2652" s="1795"/>
      <c r="N2652">
        <f>'PLANILHA SEM DESON'!I423</f>
        <v>1206.74</v>
      </c>
    </row>
    <row r="2653" spans="1:14" ht="36">
      <c r="A2653" s="1797"/>
      <c r="B2653" s="1798"/>
      <c r="C2653" s="1798">
        <v>11950</v>
      </c>
      <c r="D2653" s="1799" t="s">
        <v>2168</v>
      </c>
      <c r="E2653" s="1800" t="s">
        <v>55</v>
      </c>
      <c r="F2653" s="1809">
        <v>4</v>
      </c>
      <c r="G2653" s="1806">
        <v>0.2</v>
      </c>
      <c r="H2653" s="1802">
        <f>IF(E2653="H",G2653,TRUNC(G2653*(1-$K$7),2))</f>
        <v>0.19</v>
      </c>
      <c r="I2653" s="1803">
        <f t="shared" si="385"/>
        <v>0.76</v>
      </c>
      <c r="J2653" s="1795"/>
    </row>
    <row r="2654" spans="1:14">
      <c r="A2654" s="1943" t="s">
        <v>2477</v>
      </c>
      <c r="B2654" s="1944"/>
      <c r="C2654" s="1944"/>
      <c r="D2654" s="1944"/>
      <c r="E2654" s="1944"/>
      <c r="F2654" s="1944"/>
      <c r="G2654" s="1944"/>
      <c r="H2654" s="1945"/>
      <c r="I2654" s="1805">
        <f>SUM(I2651:I2653)</f>
        <v>987.27</v>
      </c>
      <c r="J2654" s="1795"/>
    </row>
    <row r="2655" spans="1:14">
      <c r="A2655" s="1929"/>
      <c r="B2655" s="1930"/>
      <c r="C2655" s="1930"/>
      <c r="D2655" s="1930"/>
      <c r="E2655" s="1930"/>
      <c r="F2655" s="1930"/>
      <c r="G2655" s="1930"/>
      <c r="H2655" s="1930"/>
      <c r="I2655" s="1931"/>
      <c r="J2655" s="1795"/>
    </row>
    <row r="2656" spans="1:14">
      <c r="A2656" s="1784">
        <f>'PLANILHA SEM DESON'!B426</f>
        <v>99803</v>
      </c>
      <c r="B2656" s="1940" t="str">
        <f>VLOOKUP(A2656,'PLANILHA SEM DESON'!$B$17:$D$1700,2,FALSE)</f>
        <v>LIMPEZA DE PISO CERÂMICO OU PORCELANATO COM PANO ÚMIDO. AF_04/2019</v>
      </c>
      <c r="C2656" s="1941"/>
      <c r="D2656" s="1941"/>
      <c r="E2656" s="1941"/>
      <c r="F2656" s="1941"/>
      <c r="G2656" s="1941"/>
      <c r="H2656" s="1942"/>
      <c r="I2656" s="1785" t="str">
        <f>VLOOKUP(A2656,'PLANILHA SEM DESON'!$B$17:$D$1700,3,FALSE)</f>
        <v>m²</v>
      </c>
      <c r="J2656" s="1786">
        <f>I2659</f>
        <v>1.88</v>
      </c>
    </row>
    <row r="2657" spans="1:10" ht="24">
      <c r="A2657" s="1788" t="s">
        <v>2470</v>
      </c>
      <c r="B2657" s="1789" t="s">
        <v>2471</v>
      </c>
      <c r="C2657" s="1790" t="s">
        <v>2468</v>
      </c>
      <c r="D2657" s="1791" t="s">
        <v>308</v>
      </c>
      <c r="E2657" s="1790" t="s">
        <v>202</v>
      </c>
      <c r="F2657" s="1792" t="s">
        <v>2472</v>
      </c>
      <c r="G2657" s="1790" t="s">
        <v>2473</v>
      </c>
      <c r="H2657" s="1793" t="s">
        <v>2474</v>
      </c>
      <c r="I2657" s="1794" t="s">
        <v>2475</v>
      </c>
      <c r="J2657" s="1795"/>
    </row>
    <row r="2658" spans="1:10">
      <c r="A2658" s="1797" t="s">
        <v>2476</v>
      </c>
      <c r="B2658" s="1798" t="s">
        <v>7</v>
      </c>
      <c r="C2658" s="1798">
        <v>88316</v>
      </c>
      <c r="D2658" s="1799" t="s">
        <v>66</v>
      </c>
      <c r="E2658" s="1800" t="s">
        <v>411</v>
      </c>
      <c r="F2658" s="1807">
        <v>9.7000000000000003E-2</v>
      </c>
      <c r="G2658" s="1801">
        <v>19.45</v>
      </c>
      <c r="H2658" s="1802">
        <f>IF(E2658="H",G2658,TRUNC(G2658*(1-$K$7),2))</f>
        <v>19.45</v>
      </c>
      <c r="I2658" s="1803">
        <f t="shared" ref="I2658" si="386">TRUNC(H2658*F2658,2)</f>
        <v>1.88</v>
      </c>
      <c r="J2658" s="1795"/>
    </row>
    <row r="2659" spans="1:10">
      <c r="A2659" s="1943" t="s">
        <v>2477</v>
      </c>
      <c r="B2659" s="1944"/>
      <c r="C2659" s="1944"/>
      <c r="D2659" s="1944"/>
      <c r="E2659" s="1944"/>
      <c r="F2659" s="1944"/>
      <c r="G2659" s="1944"/>
      <c r="H2659" s="1945"/>
      <c r="I2659" s="1805">
        <f>SUM(I2658:I2658)</f>
        <v>1.88</v>
      </c>
      <c r="J2659" s="1795"/>
    </row>
    <row r="2660" spans="1:10">
      <c r="A2660" s="1929"/>
      <c r="B2660" s="1930"/>
      <c r="C2660" s="1930"/>
      <c r="D2660" s="1930"/>
      <c r="E2660" s="1930"/>
      <c r="F2660" s="1930"/>
      <c r="G2660" s="1930"/>
      <c r="H2660" s="1930"/>
      <c r="I2660" s="1931"/>
      <c r="J2660" s="1795"/>
    </row>
    <row r="2661" spans="1:10">
      <c r="A2661" s="1784">
        <f>'PLANILHA SEM DESON'!B427</f>
        <v>99806</v>
      </c>
      <c r="B2661" s="1940" t="str">
        <f>VLOOKUP(A2661,'PLANILHA SEM DESON'!$B$17:$D$1700,2,FALSE)</f>
        <v>LIMPEZA DE REVESTIMENTO CERÂMICO EM PAREDE COM PANO ÚMIDO AF_04/2019</v>
      </c>
      <c r="C2661" s="1941"/>
      <c r="D2661" s="1941"/>
      <c r="E2661" s="1941"/>
      <c r="F2661" s="1941"/>
      <c r="G2661" s="1941"/>
      <c r="H2661" s="1942"/>
      <c r="I2661" s="1785" t="str">
        <f>VLOOKUP(A2661,'PLANILHA SEM DESON'!$B$17:$D$1700,3,FALSE)</f>
        <v>m²</v>
      </c>
      <c r="J2661" s="1786">
        <f>I2664</f>
        <v>0.77</v>
      </c>
    </row>
    <row r="2662" spans="1:10" ht="24">
      <c r="A2662" s="1788" t="s">
        <v>2470</v>
      </c>
      <c r="B2662" s="1789" t="s">
        <v>2471</v>
      </c>
      <c r="C2662" s="1790" t="s">
        <v>2468</v>
      </c>
      <c r="D2662" s="1791" t="s">
        <v>308</v>
      </c>
      <c r="E2662" s="1790" t="s">
        <v>202</v>
      </c>
      <c r="F2662" s="1792" t="s">
        <v>2472</v>
      </c>
      <c r="G2662" s="1790" t="s">
        <v>2473</v>
      </c>
      <c r="H2662" s="1793" t="s">
        <v>2474</v>
      </c>
      <c r="I2662" s="1794" t="s">
        <v>2475</v>
      </c>
      <c r="J2662" s="1795"/>
    </row>
    <row r="2663" spans="1:10">
      <c r="A2663" s="1797" t="s">
        <v>2476</v>
      </c>
      <c r="B2663" s="1798" t="s">
        <v>7</v>
      </c>
      <c r="C2663" s="1798">
        <v>88316</v>
      </c>
      <c r="D2663" s="1799" t="s">
        <v>66</v>
      </c>
      <c r="E2663" s="1800" t="s">
        <v>411</v>
      </c>
      <c r="F2663" s="1807">
        <v>0.04</v>
      </c>
      <c r="G2663" s="1801">
        <v>19.45</v>
      </c>
      <c r="H2663" s="1802">
        <f>IF(E2663="H",G2663,TRUNC(G2663*(1-$K$7),2))</f>
        <v>19.45</v>
      </c>
      <c r="I2663" s="1803">
        <f t="shared" ref="I2663" si="387">TRUNC(H2663*F2663,2)</f>
        <v>0.77</v>
      </c>
      <c r="J2663" s="1795"/>
    </row>
    <row r="2664" spans="1:10">
      <c r="A2664" s="1943" t="s">
        <v>2477</v>
      </c>
      <c r="B2664" s="1944"/>
      <c r="C2664" s="1944"/>
      <c r="D2664" s="1944"/>
      <c r="E2664" s="1944"/>
      <c r="F2664" s="1944"/>
      <c r="G2664" s="1944"/>
      <c r="H2664" s="1945"/>
      <c r="I2664" s="1805">
        <f>SUM(I2663:I2663)</f>
        <v>0.77</v>
      </c>
      <c r="J2664" s="1795"/>
    </row>
    <row r="2665" spans="1:10">
      <c r="A2665" s="1929"/>
      <c r="B2665" s="1930"/>
      <c r="C2665" s="1930"/>
      <c r="D2665" s="1930"/>
      <c r="E2665" s="1930"/>
      <c r="F2665" s="1930"/>
      <c r="G2665" s="1930"/>
      <c r="H2665" s="1930"/>
      <c r="I2665" s="1931"/>
      <c r="J2665" s="1795"/>
    </row>
    <row r="2666" spans="1:10">
      <c r="A2666" s="1784">
        <f>'PLANILHA SEM DESON'!B428</f>
        <v>99814</v>
      </c>
      <c r="B2666" s="1940" t="str">
        <f>VLOOKUP(A2666,'PLANILHA SEM DESON'!$B$17:$D$1700,2,FALSE)</f>
        <v>LIMPEZA DE SUPERFÍCIE COM JATO DE ALTA PRESSÃO. AF_04/2019</v>
      </c>
      <c r="C2666" s="1941"/>
      <c r="D2666" s="1941"/>
      <c r="E2666" s="1941"/>
      <c r="F2666" s="1941"/>
      <c r="G2666" s="1941"/>
      <c r="H2666" s="1942"/>
      <c r="I2666" s="1785" t="str">
        <f>VLOOKUP(A2666,'PLANILHA SEM DESON'!$B$17:$D$1700,3,FALSE)</f>
        <v>m²</v>
      </c>
      <c r="J2666" s="1786">
        <f>I2670</f>
        <v>1.8</v>
      </c>
    </row>
    <row r="2667" spans="1:10" ht="24">
      <c r="A2667" s="1788" t="s">
        <v>2470</v>
      </c>
      <c r="B2667" s="1789" t="s">
        <v>2471</v>
      </c>
      <c r="C2667" s="1790" t="s">
        <v>2468</v>
      </c>
      <c r="D2667" s="1791" t="s">
        <v>308</v>
      </c>
      <c r="E2667" s="1790" t="s">
        <v>202</v>
      </c>
      <c r="F2667" s="1792" t="s">
        <v>2472</v>
      </c>
      <c r="G2667" s="1790" t="s">
        <v>2473</v>
      </c>
      <c r="H2667" s="1793" t="s">
        <v>2474</v>
      </c>
      <c r="I2667" s="1794" t="s">
        <v>2475</v>
      </c>
      <c r="J2667" s="1795"/>
    </row>
    <row r="2668" spans="1:10">
      <c r="A2668" s="1797" t="s">
        <v>2476</v>
      </c>
      <c r="B2668" s="1798" t="s">
        <v>7</v>
      </c>
      <c r="C2668" s="1798">
        <v>88316</v>
      </c>
      <c r="D2668" s="1799" t="s">
        <v>66</v>
      </c>
      <c r="E2668" s="1800" t="s">
        <v>411</v>
      </c>
      <c r="F2668" s="1807">
        <v>8.8999999999999996E-2</v>
      </c>
      <c r="G2668" s="1801">
        <v>19.45</v>
      </c>
      <c r="H2668" s="1802">
        <f>IF(E2668="H",G2668,TRUNC(G2668*(1-$K$7),2))</f>
        <v>19.45</v>
      </c>
      <c r="I2668" s="1803">
        <f t="shared" ref="I2668:I2669" si="388">TRUNC(H2668*F2668,2)</f>
        <v>1.73</v>
      </c>
      <c r="J2668" s="1795"/>
    </row>
    <row r="2669" spans="1:10" ht="48">
      <c r="A2669" s="1797" t="s">
        <v>2476</v>
      </c>
      <c r="B2669" s="1798" t="s">
        <v>7</v>
      </c>
      <c r="C2669" s="1798">
        <v>99833</v>
      </c>
      <c r="D2669" s="1799" t="s">
        <v>2844</v>
      </c>
      <c r="E2669" s="1800" t="s">
        <v>456</v>
      </c>
      <c r="F2669" s="1807">
        <v>1.4999999999999999E-2</v>
      </c>
      <c r="G2669" s="1801">
        <v>5.29</v>
      </c>
      <c r="H2669" s="1802">
        <f>IF(E2669="H",G2669,TRUNC(G2669*(1-$K$7),2))</f>
        <v>5.26</v>
      </c>
      <c r="I2669" s="1803">
        <f t="shared" si="388"/>
        <v>7.0000000000000007E-2</v>
      </c>
      <c r="J2669" s="1795"/>
    </row>
    <row r="2670" spans="1:10">
      <c r="A2670" s="1943" t="s">
        <v>2477</v>
      </c>
      <c r="B2670" s="1944"/>
      <c r="C2670" s="1944"/>
      <c r="D2670" s="1944"/>
      <c r="E2670" s="1944"/>
      <c r="F2670" s="1944"/>
      <c r="G2670" s="1944"/>
      <c r="H2670" s="1945"/>
      <c r="I2670" s="1805">
        <f>SUM(I2668:I2669)</f>
        <v>1.8</v>
      </c>
      <c r="J2670" s="1795"/>
    </row>
    <row r="2671" spans="1:10">
      <c r="A2671" s="1929"/>
      <c r="B2671" s="1930"/>
      <c r="C2671" s="1930"/>
      <c r="D2671" s="1930"/>
      <c r="E2671" s="1930"/>
      <c r="F2671" s="1930"/>
      <c r="G2671" s="1930"/>
      <c r="H2671" s="1930"/>
      <c r="I2671" s="1931"/>
      <c r="J2671" s="1795"/>
    </row>
    <row r="2673" spans="1:9">
      <c r="I2673" s="1852" t="str">
        <f>'RESUMO SEM DESONERAÇÃO'!$E$41</f>
        <v>CUIABÁ-MT, 15 DE MAIO DE 2023.</v>
      </c>
    </row>
    <row r="2677" spans="1:9">
      <c r="A2677" s="1903" t="str">
        <f>'RESUMO SEM DESONERAÇÃO'!$A$47:$E$47</f>
        <v>_______________________________________</v>
      </c>
      <c r="B2677" s="1903"/>
      <c r="C2677" s="1903"/>
      <c r="D2677" s="1903"/>
      <c r="E2677" s="1903"/>
      <c r="F2677" s="1903"/>
      <c r="G2677" s="1903"/>
      <c r="H2677" s="1903"/>
      <c r="I2677" s="1903"/>
    </row>
    <row r="2678" spans="1:9">
      <c r="A2678" s="1903" t="str">
        <f>'RESUMO SEM DESONERAÇÃO'!$A$48:$E$48</f>
        <v>PAULO PAZETO MEDEIROS</v>
      </c>
      <c r="B2678" s="1903"/>
      <c r="C2678" s="1903"/>
      <c r="D2678" s="1903"/>
      <c r="E2678" s="1903"/>
      <c r="F2678" s="1903"/>
      <c r="G2678" s="1903"/>
      <c r="H2678" s="1903"/>
      <c r="I2678" s="1903"/>
    </row>
    <row r="2679" spans="1:9">
      <c r="A2679" s="1903" t="str">
        <f>'RESUMO SEM DESONERAÇÃO'!$A$49:$E$49</f>
        <v>DIRETOR/ENGENHEIRO CIVIL</v>
      </c>
      <c r="B2679" s="1903"/>
      <c r="C2679" s="1903"/>
      <c r="D2679" s="1903"/>
      <c r="E2679" s="1903"/>
      <c r="F2679" s="1903"/>
      <c r="G2679" s="1903"/>
      <c r="H2679" s="1903"/>
      <c r="I2679" s="1903"/>
    </row>
    <row r="2680" spans="1:9">
      <c r="A2680" s="1903" t="str">
        <f>'RESUMO SEM DESONERAÇÃO'!$A$50:$E$50</f>
        <v>CREA MT034442</v>
      </c>
      <c r="B2680" s="1903"/>
      <c r="C2680" s="1903"/>
      <c r="D2680" s="1903"/>
      <c r="E2680" s="1903"/>
      <c r="F2680" s="1903"/>
      <c r="G2680" s="1903"/>
      <c r="H2680" s="1903"/>
      <c r="I2680" s="1903"/>
    </row>
    <row r="2681" spans="1:9">
      <c r="A2681" s="1903" t="str">
        <f>'RESUMO SEM DESONERAÇÃO'!$A$51:$E$51</f>
        <v>CPF 037.578.081-50</v>
      </c>
      <c r="B2681" s="1903"/>
      <c r="C2681" s="1903"/>
      <c r="D2681" s="1903"/>
      <c r="E2681" s="1903"/>
      <c r="F2681" s="1903"/>
      <c r="G2681" s="1903"/>
      <c r="H2681" s="1903"/>
      <c r="I2681" s="1903"/>
    </row>
  </sheetData>
  <mergeCells count="887">
    <mergeCell ref="A2670:H2670"/>
    <mergeCell ref="A2671:I2671"/>
    <mergeCell ref="A2660:I2660"/>
    <mergeCell ref="B2661:H2661"/>
    <mergeCell ref="A2664:H2664"/>
    <mergeCell ref="A2665:I2665"/>
    <mergeCell ref="B2666:H2666"/>
    <mergeCell ref="B2649:H2649"/>
    <mergeCell ref="A2654:H2654"/>
    <mergeCell ref="A2655:I2655"/>
    <mergeCell ref="B2656:H2656"/>
    <mergeCell ref="A2659:H2659"/>
    <mergeCell ref="A2639:H2639"/>
    <mergeCell ref="A2640:I2640"/>
    <mergeCell ref="B2641:H2641"/>
    <mergeCell ref="A2647:H2647"/>
    <mergeCell ref="A2648:I2648"/>
    <mergeCell ref="A2623:I2623"/>
    <mergeCell ref="B2624:H2624"/>
    <mergeCell ref="A2631:H2631"/>
    <mergeCell ref="A2632:I2632"/>
    <mergeCell ref="B2633:H2633"/>
    <mergeCell ref="B2610:H2610"/>
    <mergeCell ref="A2615:H2615"/>
    <mergeCell ref="A2616:I2616"/>
    <mergeCell ref="B2617:H2617"/>
    <mergeCell ref="A2622:H2622"/>
    <mergeCell ref="A2601:H2601"/>
    <mergeCell ref="A2602:I2602"/>
    <mergeCell ref="B2603:H2603"/>
    <mergeCell ref="A2608:H2608"/>
    <mergeCell ref="A2609:I2609"/>
    <mergeCell ref="A2584:I2584"/>
    <mergeCell ref="B2585:H2585"/>
    <mergeCell ref="A2595:H2595"/>
    <mergeCell ref="A2596:I2596"/>
    <mergeCell ref="B2597:H2597"/>
    <mergeCell ref="B2560:H2560"/>
    <mergeCell ref="A2571:H2571"/>
    <mergeCell ref="A2572:I2572"/>
    <mergeCell ref="B2573:H2573"/>
    <mergeCell ref="A2583:H2583"/>
    <mergeCell ref="A2558:H2558"/>
    <mergeCell ref="A2559:I2559"/>
    <mergeCell ref="A2541:I2541"/>
    <mergeCell ref="B2542:H2542"/>
    <mergeCell ref="A2545:H2545"/>
    <mergeCell ref="A2546:I2546"/>
    <mergeCell ref="B2547:H2547"/>
    <mergeCell ref="B2532:H2532"/>
    <mergeCell ref="A2535:H2535"/>
    <mergeCell ref="A2536:I2536"/>
    <mergeCell ref="B2537:H2537"/>
    <mergeCell ref="A2540:H2540"/>
    <mergeCell ref="A2523:I2523"/>
    <mergeCell ref="B2524:H2524"/>
    <mergeCell ref="A2530:H2530"/>
    <mergeCell ref="A2531:I2531"/>
    <mergeCell ref="A2508:I2508"/>
    <mergeCell ref="B2509:H2509"/>
    <mergeCell ref="A2514:H2514"/>
    <mergeCell ref="A2515:I2515"/>
    <mergeCell ref="B2516:H2516"/>
    <mergeCell ref="A2499:I2499"/>
    <mergeCell ref="B2500:H2500"/>
    <mergeCell ref="A2507:H2507"/>
    <mergeCell ref="A2477:H2477"/>
    <mergeCell ref="A2478:I2478"/>
    <mergeCell ref="B2479:H2479"/>
    <mergeCell ref="A2486:H2486"/>
    <mergeCell ref="A2487:I2487"/>
    <mergeCell ref="A2522:H2522"/>
    <mergeCell ref="B2462:H2462"/>
    <mergeCell ref="A2468:H2468"/>
    <mergeCell ref="A2469:I2469"/>
    <mergeCell ref="B2470:H2470"/>
    <mergeCell ref="B2448:H2448"/>
    <mergeCell ref="A2460:H2460"/>
    <mergeCell ref="A2461:I2461"/>
    <mergeCell ref="B2488:H2488"/>
    <mergeCell ref="A2498:H2498"/>
    <mergeCell ref="A2438:H2438"/>
    <mergeCell ref="A2439:I2439"/>
    <mergeCell ref="B2440:H2440"/>
    <mergeCell ref="A2446:H2446"/>
    <mergeCell ref="A2447:I2447"/>
    <mergeCell ref="A2415:I2415"/>
    <mergeCell ref="B2416:H2416"/>
    <mergeCell ref="A2425:H2425"/>
    <mergeCell ref="A2426:I2426"/>
    <mergeCell ref="B2427:H2427"/>
    <mergeCell ref="B2396:H2396"/>
    <mergeCell ref="A2403:H2403"/>
    <mergeCell ref="A2404:I2404"/>
    <mergeCell ref="B2405:H2405"/>
    <mergeCell ref="A2414:H2414"/>
    <mergeCell ref="A2386:H2386"/>
    <mergeCell ref="A2387:I2387"/>
    <mergeCell ref="B2388:H2388"/>
    <mergeCell ref="A2394:H2394"/>
    <mergeCell ref="A2395:I2395"/>
    <mergeCell ref="A2371:I2371"/>
    <mergeCell ref="B2372:H2372"/>
    <mergeCell ref="A2377:H2377"/>
    <mergeCell ref="A2378:I2378"/>
    <mergeCell ref="B2379:H2379"/>
    <mergeCell ref="B2355:H2355"/>
    <mergeCell ref="A2358:H2358"/>
    <mergeCell ref="A2359:I2359"/>
    <mergeCell ref="B2360:H2360"/>
    <mergeCell ref="A2370:H2370"/>
    <mergeCell ref="A2342:H2342"/>
    <mergeCell ref="A2343:I2343"/>
    <mergeCell ref="B2344:H2344"/>
    <mergeCell ref="A2353:H2353"/>
    <mergeCell ref="A2354:I2354"/>
    <mergeCell ref="A2329:I2329"/>
    <mergeCell ref="B2330:H2330"/>
    <mergeCell ref="A2335:H2335"/>
    <mergeCell ref="A2336:I2336"/>
    <mergeCell ref="B2337:H2337"/>
    <mergeCell ref="B2314:H2314"/>
    <mergeCell ref="A2321:H2321"/>
    <mergeCell ref="A2322:I2322"/>
    <mergeCell ref="B2323:H2323"/>
    <mergeCell ref="A2328:H2328"/>
    <mergeCell ref="A2301:H2301"/>
    <mergeCell ref="A2302:I2302"/>
    <mergeCell ref="B2303:H2303"/>
    <mergeCell ref="A2312:H2312"/>
    <mergeCell ref="A2313:I2313"/>
    <mergeCell ref="A2287:I2287"/>
    <mergeCell ref="B2288:H2288"/>
    <mergeCell ref="A2294:H2294"/>
    <mergeCell ref="A2295:I2295"/>
    <mergeCell ref="B2296:H2296"/>
    <mergeCell ref="B2273:H2273"/>
    <mergeCell ref="A2277:H2277"/>
    <mergeCell ref="A2278:I2278"/>
    <mergeCell ref="B2279:H2279"/>
    <mergeCell ref="A2286:H2286"/>
    <mergeCell ref="A2263:H2263"/>
    <mergeCell ref="A2264:I2264"/>
    <mergeCell ref="B2265:H2265"/>
    <mergeCell ref="A2271:H2271"/>
    <mergeCell ref="A2272:I2272"/>
    <mergeCell ref="A2249:I2249"/>
    <mergeCell ref="B2250:H2250"/>
    <mergeCell ref="A2256:H2256"/>
    <mergeCell ref="A2257:I2257"/>
    <mergeCell ref="B2258:H2258"/>
    <mergeCell ref="B2234:H2234"/>
    <mergeCell ref="A2240:H2240"/>
    <mergeCell ref="A2241:I2241"/>
    <mergeCell ref="B2242:H2242"/>
    <mergeCell ref="A2248:H2248"/>
    <mergeCell ref="A2225:H2225"/>
    <mergeCell ref="A2226:I2226"/>
    <mergeCell ref="B2227:H2227"/>
    <mergeCell ref="A2232:H2232"/>
    <mergeCell ref="A2233:I2233"/>
    <mergeCell ref="A2208:I2208"/>
    <mergeCell ref="B2209:H2209"/>
    <mergeCell ref="A2216:H2216"/>
    <mergeCell ref="A2217:I2217"/>
    <mergeCell ref="B2218:H2218"/>
    <mergeCell ref="B2191:H2191"/>
    <mergeCell ref="A2198:H2198"/>
    <mergeCell ref="A2199:I2199"/>
    <mergeCell ref="B2200:H2200"/>
    <mergeCell ref="A2207:H2207"/>
    <mergeCell ref="A2169:H2169"/>
    <mergeCell ref="A2170:I2170"/>
    <mergeCell ref="B2171:H2171"/>
    <mergeCell ref="A2189:H2189"/>
    <mergeCell ref="A2190:I2190"/>
    <mergeCell ref="A2154:I2154"/>
    <mergeCell ref="B2155:H2155"/>
    <mergeCell ref="A2161:H2161"/>
    <mergeCell ref="A2162:I2162"/>
    <mergeCell ref="B2163:H2163"/>
    <mergeCell ref="B2138:H2138"/>
    <mergeCell ref="A2145:H2145"/>
    <mergeCell ref="A2146:I2146"/>
    <mergeCell ref="B2147:H2147"/>
    <mergeCell ref="A2153:H2153"/>
    <mergeCell ref="A2127:H2127"/>
    <mergeCell ref="A2128:I2128"/>
    <mergeCell ref="B2129:H2129"/>
    <mergeCell ref="A2136:H2136"/>
    <mergeCell ref="A2137:I2137"/>
    <mergeCell ref="A2110:I2110"/>
    <mergeCell ref="B2111:H2111"/>
    <mergeCell ref="A2117:H2117"/>
    <mergeCell ref="A2118:I2118"/>
    <mergeCell ref="B2119:H2119"/>
    <mergeCell ref="B2093:H2093"/>
    <mergeCell ref="A2100:H2100"/>
    <mergeCell ref="A2101:I2101"/>
    <mergeCell ref="B2102:H2102"/>
    <mergeCell ref="A2109:H2109"/>
    <mergeCell ref="A2081:H2081"/>
    <mergeCell ref="A2082:I2082"/>
    <mergeCell ref="B2083:H2083"/>
    <mergeCell ref="A2091:H2091"/>
    <mergeCell ref="A2092:I2092"/>
    <mergeCell ref="A2064:I2064"/>
    <mergeCell ref="B2065:H2065"/>
    <mergeCell ref="A2072:H2072"/>
    <mergeCell ref="A2073:I2073"/>
    <mergeCell ref="B2074:H2074"/>
    <mergeCell ref="B2044:H2044"/>
    <mergeCell ref="A2054:H2054"/>
    <mergeCell ref="A2055:I2055"/>
    <mergeCell ref="B2056:H2056"/>
    <mergeCell ref="A2063:H2063"/>
    <mergeCell ref="A2032:H2032"/>
    <mergeCell ref="A2033:I2033"/>
    <mergeCell ref="B2034:H2034"/>
    <mergeCell ref="A2042:H2042"/>
    <mergeCell ref="A2043:I2043"/>
    <mergeCell ref="A2019:I2019"/>
    <mergeCell ref="B2020:H2020"/>
    <mergeCell ref="A2025:H2025"/>
    <mergeCell ref="A2026:I2026"/>
    <mergeCell ref="B2027:H2027"/>
    <mergeCell ref="B2003:H2003"/>
    <mergeCell ref="A2008:H2008"/>
    <mergeCell ref="A2009:I2009"/>
    <mergeCell ref="B2010:H2010"/>
    <mergeCell ref="A2018:H2018"/>
    <mergeCell ref="A1993:H1993"/>
    <mergeCell ref="A1994:I1994"/>
    <mergeCell ref="B1995:H1995"/>
    <mergeCell ref="A2001:H2001"/>
    <mergeCell ref="A2002:I2002"/>
    <mergeCell ref="A1978:I1978"/>
    <mergeCell ref="B1979:H1979"/>
    <mergeCell ref="A1985:H1985"/>
    <mergeCell ref="A1986:I1986"/>
    <mergeCell ref="B1987:H1987"/>
    <mergeCell ref="B1963:H1963"/>
    <mergeCell ref="A1969:H1969"/>
    <mergeCell ref="A1970:I1970"/>
    <mergeCell ref="B1971:H1971"/>
    <mergeCell ref="A1977:H1977"/>
    <mergeCell ref="A1953:H1953"/>
    <mergeCell ref="A1954:I1954"/>
    <mergeCell ref="B1955:H1955"/>
    <mergeCell ref="A1961:H1961"/>
    <mergeCell ref="A1962:I1962"/>
    <mergeCell ref="A1938:I1938"/>
    <mergeCell ref="B1939:H1939"/>
    <mergeCell ref="A1945:H1945"/>
    <mergeCell ref="A1946:I1946"/>
    <mergeCell ref="B1947:H1947"/>
    <mergeCell ref="B1921:H1921"/>
    <mergeCell ref="A1928:H1928"/>
    <mergeCell ref="A1929:I1929"/>
    <mergeCell ref="B1930:H1930"/>
    <mergeCell ref="A1937:H1937"/>
    <mergeCell ref="A1911:H1911"/>
    <mergeCell ref="A1912:I1912"/>
    <mergeCell ref="B1913:H1913"/>
    <mergeCell ref="A1919:H1919"/>
    <mergeCell ref="A1920:I1920"/>
    <mergeCell ref="A1900:I1900"/>
    <mergeCell ref="B1901:H1901"/>
    <mergeCell ref="A1905:H1905"/>
    <mergeCell ref="A1906:I1906"/>
    <mergeCell ref="B1907:H1907"/>
    <mergeCell ref="B1885:H1885"/>
    <mergeCell ref="A1892:H1892"/>
    <mergeCell ref="A1893:I1893"/>
    <mergeCell ref="B1894:H1894"/>
    <mergeCell ref="A1899:H1899"/>
    <mergeCell ref="A1876:H1876"/>
    <mergeCell ref="A1877:I1877"/>
    <mergeCell ref="B1878:H1878"/>
    <mergeCell ref="A1883:H1883"/>
    <mergeCell ref="A1884:I1884"/>
    <mergeCell ref="A1859:I1859"/>
    <mergeCell ref="B1860:H1860"/>
    <mergeCell ref="A1868:H1868"/>
    <mergeCell ref="A1869:I1869"/>
    <mergeCell ref="B1870:H1870"/>
    <mergeCell ref="B1840:H1840"/>
    <mergeCell ref="A1848:H1848"/>
    <mergeCell ref="A1849:I1849"/>
    <mergeCell ref="B1850:H1850"/>
    <mergeCell ref="A1858:H1858"/>
    <mergeCell ref="A1828:H1828"/>
    <mergeCell ref="A1829:I1829"/>
    <mergeCell ref="B1830:H1830"/>
    <mergeCell ref="A1838:H1838"/>
    <mergeCell ref="A1839:I1839"/>
    <mergeCell ref="A1810:I1810"/>
    <mergeCell ref="B1811:H1811"/>
    <mergeCell ref="A1819:H1819"/>
    <mergeCell ref="A1820:I1820"/>
    <mergeCell ref="B1821:H1821"/>
    <mergeCell ref="B1792:H1792"/>
    <mergeCell ref="A1800:H1800"/>
    <mergeCell ref="A1801:I1801"/>
    <mergeCell ref="B1802:H1802"/>
    <mergeCell ref="A1809:H1809"/>
    <mergeCell ref="A1780:H1780"/>
    <mergeCell ref="A1781:I1781"/>
    <mergeCell ref="B1782:H1782"/>
    <mergeCell ref="A1790:H1790"/>
    <mergeCell ref="A1791:I1791"/>
    <mergeCell ref="A1763:I1763"/>
    <mergeCell ref="B1764:H1764"/>
    <mergeCell ref="A1770:H1770"/>
    <mergeCell ref="A1771:I1771"/>
    <mergeCell ref="B1772:H1772"/>
    <mergeCell ref="B1748:H1748"/>
    <mergeCell ref="A1754:H1754"/>
    <mergeCell ref="A1755:I1755"/>
    <mergeCell ref="B1756:H1756"/>
    <mergeCell ref="A1762:H1762"/>
    <mergeCell ref="A1738:H1738"/>
    <mergeCell ref="A1739:I1739"/>
    <mergeCell ref="B1740:H1740"/>
    <mergeCell ref="A1746:H1746"/>
    <mergeCell ref="A1747:I1747"/>
    <mergeCell ref="A1723:I1723"/>
    <mergeCell ref="B1724:H1724"/>
    <mergeCell ref="A1730:H1730"/>
    <mergeCell ref="A1731:I1731"/>
    <mergeCell ref="B1732:H1732"/>
    <mergeCell ref="B1706:H1706"/>
    <mergeCell ref="A1714:H1714"/>
    <mergeCell ref="A1715:I1715"/>
    <mergeCell ref="B1716:H1716"/>
    <mergeCell ref="A1722:H1722"/>
    <mergeCell ref="A1694:H1694"/>
    <mergeCell ref="A1695:I1695"/>
    <mergeCell ref="B1696:H1696"/>
    <mergeCell ref="A1704:H1704"/>
    <mergeCell ref="A1705:I1705"/>
    <mergeCell ref="A1676:I1676"/>
    <mergeCell ref="B1677:H1677"/>
    <mergeCell ref="A1685:H1685"/>
    <mergeCell ref="A1686:I1686"/>
    <mergeCell ref="B1687:H1687"/>
    <mergeCell ref="B1657:H1657"/>
    <mergeCell ref="A1665:H1665"/>
    <mergeCell ref="A1666:I1666"/>
    <mergeCell ref="B1667:H1667"/>
    <mergeCell ref="A1675:H1675"/>
    <mergeCell ref="A1645:H1645"/>
    <mergeCell ref="A1646:I1646"/>
    <mergeCell ref="B1647:H1647"/>
    <mergeCell ref="A1655:H1655"/>
    <mergeCell ref="A1656:I1656"/>
    <mergeCell ref="A1631:I1631"/>
    <mergeCell ref="B1632:H1632"/>
    <mergeCell ref="A1638:H1638"/>
    <mergeCell ref="A1639:I1639"/>
    <mergeCell ref="B1640:H1640"/>
    <mergeCell ref="B1616:H1616"/>
    <mergeCell ref="A1622:H1622"/>
    <mergeCell ref="A1623:I1623"/>
    <mergeCell ref="B1624:H1624"/>
    <mergeCell ref="A1630:H1630"/>
    <mergeCell ref="A1607:H1607"/>
    <mergeCell ref="A1608:I1608"/>
    <mergeCell ref="B1609:H1609"/>
    <mergeCell ref="A1614:H1614"/>
    <mergeCell ref="A1615:I1615"/>
    <mergeCell ref="A1593:I1593"/>
    <mergeCell ref="B1594:H1594"/>
    <mergeCell ref="A1599:H1599"/>
    <mergeCell ref="A1600:I1600"/>
    <mergeCell ref="B1601:H1601"/>
    <mergeCell ref="B1581:H1581"/>
    <mergeCell ref="A1585:H1585"/>
    <mergeCell ref="A1586:I1586"/>
    <mergeCell ref="B1587:H1587"/>
    <mergeCell ref="A1592:H1592"/>
    <mergeCell ref="A1571:H1571"/>
    <mergeCell ref="A1572:I1572"/>
    <mergeCell ref="B1573:H1573"/>
    <mergeCell ref="A1579:H1579"/>
    <mergeCell ref="A1580:I1580"/>
    <mergeCell ref="A1557:I1557"/>
    <mergeCell ref="B1558:H1558"/>
    <mergeCell ref="A1563:H1563"/>
    <mergeCell ref="A1564:I1564"/>
    <mergeCell ref="B1565:H1565"/>
    <mergeCell ref="B1543:H1543"/>
    <mergeCell ref="A1549:H1549"/>
    <mergeCell ref="A1550:I1550"/>
    <mergeCell ref="B1551:H1551"/>
    <mergeCell ref="A1556:H1556"/>
    <mergeCell ref="A1534:H1534"/>
    <mergeCell ref="A1535:I1535"/>
    <mergeCell ref="B1536:H1536"/>
    <mergeCell ref="A1541:H1541"/>
    <mergeCell ref="A1542:I1542"/>
    <mergeCell ref="A1520:I1520"/>
    <mergeCell ref="B1521:H1521"/>
    <mergeCell ref="A1526:H1526"/>
    <mergeCell ref="A1527:I1527"/>
    <mergeCell ref="B1528:H1528"/>
    <mergeCell ref="B1507:H1507"/>
    <mergeCell ref="A1512:H1512"/>
    <mergeCell ref="A1513:I1513"/>
    <mergeCell ref="B1514:H1514"/>
    <mergeCell ref="A1519:H1519"/>
    <mergeCell ref="A1498:H1498"/>
    <mergeCell ref="A1499:I1499"/>
    <mergeCell ref="B1500:H1500"/>
    <mergeCell ref="A1505:H1505"/>
    <mergeCell ref="A1506:I1506"/>
    <mergeCell ref="A1477:I1477"/>
    <mergeCell ref="B1478:H1478"/>
    <mergeCell ref="A1491:H1491"/>
    <mergeCell ref="A1492:I1492"/>
    <mergeCell ref="B1493:H1493"/>
    <mergeCell ref="B1461:H1461"/>
    <mergeCell ref="A1466:H1466"/>
    <mergeCell ref="A1467:I1467"/>
    <mergeCell ref="B1468:H1468"/>
    <mergeCell ref="A1476:H1476"/>
    <mergeCell ref="A1452:H1452"/>
    <mergeCell ref="A1453:I1453"/>
    <mergeCell ref="B1454:H1454"/>
    <mergeCell ref="A1459:H1459"/>
    <mergeCell ref="A1460:I1460"/>
    <mergeCell ref="A1441:I1441"/>
    <mergeCell ref="B1442:H1442"/>
    <mergeCell ref="A1446:H1446"/>
    <mergeCell ref="A1447:I1447"/>
    <mergeCell ref="B1448:H1448"/>
    <mergeCell ref="B1428:H1428"/>
    <mergeCell ref="A1433:H1433"/>
    <mergeCell ref="A1434:I1434"/>
    <mergeCell ref="B1435:H1435"/>
    <mergeCell ref="A1440:H1440"/>
    <mergeCell ref="A1420:H1420"/>
    <mergeCell ref="A1421:I1421"/>
    <mergeCell ref="B1422:H1422"/>
    <mergeCell ref="A1426:H1426"/>
    <mergeCell ref="A1427:I1427"/>
    <mergeCell ref="A1405:I1405"/>
    <mergeCell ref="B1406:H1406"/>
    <mergeCell ref="A1413:H1413"/>
    <mergeCell ref="A1414:I1414"/>
    <mergeCell ref="B1415:H1415"/>
    <mergeCell ref="B1390:H1390"/>
    <mergeCell ref="A1396:H1396"/>
    <mergeCell ref="A1397:I1397"/>
    <mergeCell ref="B1398:H1398"/>
    <mergeCell ref="A1404:H1404"/>
    <mergeCell ref="A1379:H1379"/>
    <mergeCell ref="A1380:I1380"/>
    <mergeCell ref="B1381:H1381"/>
    <mergeCell ref="A1388:H1388"/>
    <mergeCell ref="A1389:I1389"/>
    <mergeCell ref="A1366:I1366"/>
    <mergeCell ref="B1367:H1367"/>
    <mergeCell ref="A1372:H1372"/>
    <mergeCell ref="A1373:I1373"/>
    <mergeCell ref="B1374:H1374"/>
    <mergeCell ref="B1351:H1351"/>
    <mergeCell ref="A1357:H1357"/>
    <mergeCell ref="A1358:I1358"/>
    <mergeCell ref="B1359:H1359"/>
    <mergeCell ref="A1365:H1365"/>
    <mergeCell ref="A1341:H1341"/>
    <mergeCell ref="A1342:I1342"/>
    <mergeCell ref="B1343:H1343"/>
    <mergeCell ref="A1349:H1349"/>
    <mergeCell ref="A1350:I1350"/>
    <mergeCell ref="A1328:I1328"/>
    <mergeCell ref="B1329:H1329"/>
    <mergeCell ref="A1334:H1334"/>
    <mergeCell ref="A1335:I1335"/>
    <mergeCell ref="B1336:H1336"/>
    <mergeCell ref="B1315:H1315"/>
    <mergeCell ref="A1320:H1320"/>
    <mergeCell ref="A1321:I1321"/>
    <mergeCell ref="B1322:H1322"/>
    <mergeCell ref="A1327:H1327"/>
    <mergeCell ref="A1306:H1306"/>
    <mergeCell ref="A1307:I1307"/>
    <mergeCell ref="B1308:H1308"/>
    <mergeCell ref="A1313:H1313"/>
    <mergeCell ref="A1314:I1314"/>
    <mergeCell ref="A1291:I1291"/>
    <mergeCell ref="B1292:H1292"/>
    <mergeCell ref="A1298:H1298"/>
    <mergeCell ref="A1299:I1299"/>
    <mergeCell ref="B1300:H1300"/>
    <mergeCell ref="B1277:H1277"/>
    <mergeCell ref="A1282:H1282"/>
    <mergeCell ref="A1283:I1283"/>
    <mergeCell ref="B1284:H1284"/>
    <mergeCell ref="A1290:H1290"/>
    <mergeCell ref="A1268:H1268"/>
    <mergeCell ref="A1269:I1269"/>
    <mergeCell ref="B1270:H1270"/>
    <mergeCell ref="A1275:H1275"/>
    <mergeCell ref="A1276:I1276"/>
    <mergeCell ref="A1253:I1253"/>
    <mergeCell ref="B1254:H1254"/>
    <mergeCell ref="A1260:H1260"/>
    <mergeCell ref="A1261:I1261"/>
    <mergeCell ref="B1262:H1262"/>
    <mergeCell ref="B1238:H1238"/>
    <mergeCell ref="A1244:H1244"/>
    <mergeCell ref="A1245:I1245"/>
    <mergeCell ref="B1246:H1246"/>
    <mergeCell ref="A1252:H1252"/>
    <mergeCell ref="A1230:H1230"/>
    <mergeCell ref="A1231:I1231"/>
    <mergeCell ref="B1232:H1232"/>
    <mergeCell ref="A1236:H1236"/>
    <mergeCell ref="A1237:I1237"/>
    <mergeCell ref="A1219:I1219"/>
    <mergeCell ref="B1220:H1220"/>
    <mergeCell ref="A1224:H1224"/>
    <mergeCell ref="A1225:I1225"/>
    <mergeCell ref="B1226:H1226"/>
    <mergeCell ref="B1207:H1207"/>
    <mergeCell ref="A1212:H1212"/>
    <mergeCell ref="A1213:I1213"/>
    <mergeCell ref="B1214:H1214"/>
    <mergeCell ref="A1218:H1218"/>
    <mergeCell ref="A1197:H1197"/>
    <mergeCell ref="A1198:I1198"/>
    <mergeCell ref="B1199:H1199"/>
    <mergeCell ref="A1205:H1205"/>
    <mergeCell ref="A1206:I1206"/>
    <mergeCell ref="A1184:I1184"/>
    <mergeCell ref="B1185:H1185"/>
    <mergeCell ref="A1189:H1189"/>
    <mergeCell ref="A1190:I1190"/>
    <mergeCell ref="B1191:H1191"/>
    <mergeCell ref="B1172:H1172"/>
    <mergeCell ref="A1176:H1176"/>
    <mergeCell ref="A1177:I1177"/>
    <mergeCell ref="B1178:H1178"/>
    <mergeCell ref="A1183:H1183"/>
    <mergeCell ref="A1164:H1164"/>
    <mergeCell ref="A1165:I1165"/>
    <mergeCell ref="B1166:H1166"/>
    <mergeCell ref="A1170:H1170"/>
    <mergeCell ref="A1171:I1171"/>
    <mergeCell ref="A1151:I1151"/>
    <mergeCell ref="B1152:H1152"/>
    <mergeCell ref="A1157:H1157"/>
    <mergeCell ref="A1158:I1158"/>
    <mergeCell ref="B1159:H1159"/>
    <mergeCell ref="B1136:H1136"/>
    <mergeCell ref="A1142:H1142"/>
    <mergeCell ref="A1143:I1143"/>
    <mergeCell ref="B1144:H1144"/>
    <mergeCell ref="A1150:H1150"/>
    <mergeCell ref="A1126:H1126"/>
    <mergeCell ref="A1127:I1127"/>
    <mergeCell ref="B1128:H1128"/>
    <mergeCell ref="A1134:H1134"/>
    <mergeCell ref="A1135:I1135"/>
    <mergeCell ref="A1111:I1111"/>
    <mergeCell ref="B1112:H1112"/>
    <mergeCell ref="A1118:H1118"/>
    <mergeCell ref="A1119:I1119"/>
    <mergeCell ref="B1120:H1120"/>
    <mergeCell ref="B1096:H1096"/>
    <mergeCell ref="A1102:H1102"/>
    <mergeCell ref="A1103:I1103"/>
    <mergeCell ref="B1104:H1104"/>
    <mergeCell ref="A1110:H1110"/>
    <mergeCell ref="A1086:H1086"/>
    <mergeCell ref="A1087:I1087"/>
    <mergeCell ref="B1088:H1088"/>
    <mergeCell ref="A1094:H1094"/>
    <mergeCell ref="A1095:I1095"/>
    <mergeCell ref="A1071:I1071"/>
    <mergeCell ref="B1072:H1072"/>
    <mergeCell ref="A1078:H1078"/>
    <mergeCell ref="A1079:I1079"/>
    <mergeCell ref="B1080:H1080"/>
    <mergeCell ref="B1056:H1056"/>
    <mergeCell ref="A1062:H1062"/>
    <mergeCell ref="A1063:I1063"/>
    <mergeCell ref="B1064:H1064"/>
    <mergeCell ref="A1070:H1070"/>
    <mergeCell ref="A1044:H1044"/>
    <mergeCell ref="A1045:I1045"/>
    <mergeCell ref="B1046:H1046"/>
    <mergeCell ref="A1054:H1054"/>
    <mergeCell ref="A1055:I1055"/>
    <mergeCell ref="A1031:I1031"/>
    <mergeCell ref="B1032:H1032"/>
    <mergeCell ref="A1037:H1037"/>
    <mergeCell ref="A1038:I1038"/>
    <mergeCell ref="B1039:H1039"/>
    <mergeCell ref="B1008:H1008"/>
    <mergeCell ref="A1023:H1023"/>
    <mergeCell ref="A1024:I1024"/>
    <mergeCell ref="B1025:H1025"/>
    <mergeCell ref="A1030:H1030"/>
    <mergeCell ref="A999:H999"/>
    <mergeCell ref="A1000:I1000"/>
    <mergeCell ref="B1001:H1001"/>
    <mergeCell ref="A1006:H1006"/>
    <mergeCell ref="A1007:I1007"/>
    <mergeCell ref="A985:I985"/>
    <mergeCell ref="B986:H986"/>
    <mergeCell ref="A991:H991"/>
    <mergeCell ref="A992:I992"/>
    <mergeCell ref="B993:H993"/>
    <mergeCell ref="B972:H972"/>
    <mergeCell ref="A977:H977"/>
    <mergeCell ref="A978:I978"/>
    <mergeCell ref="B979:H979"/>
    <mergeCell ref="A984:H984"/>
    <mergeCell ref="A963:H963"/>
    <mergeCell ref="A964:I964"/>
    <mergeCell ref="B965:H965"/>
    <mergeCell ref="A970:H970"/>
    <mergeCell ref="A971:I971"/>
    <mergeCell ref="A950:I950"/>
    <mergeCell ref="B951:H951"/>
    <mergeCell ref="A956:H956"/>
    <mergeCell ref="A957:I957"/>
    <mergeCell ref="B958:H958"/>
    <mergeCell ref="B936:H936"/>
    <mergeCell ref="A942:H942"/>
    <mergeCell ref="A943:I943"/>
    <mergeCell ref="B944:H944"/>
    <mergeCell ref="A949:H949"/>
    <mergeCell ref="A929:H929"/>
    <mergeCell ref="A930:I930"/>
    <mergeCell ref="B931:H931"/>
    <mergeCell ref="A934:H934"/>
    <mergeCell ref="A935:I935"/>
    <mergeCell ref="A919:I919"/>
    <mergeCell ref="B920:H920"/>
    <mergeCell ref="A923:H923"/>
    <mergeCell ref="A924:I924"/>
    <mergeCell ref="B925:H925"/>
    <mergeCell ref="B902:H902"/>
    <mergeCell ref="A909:H909"/>
    <mergeCell ref="A910:I910"/>
    <mergeCell ref="B911:H911"/>
    <mergeCell ref="A918:H918"/>
    <mergeCell ref="A890:H890"/>
    <mergeCell ref="A891:I891"/>
    <mergeCell ref="B892:H892"/>
    <mergeCell ref="A900:H900"/>
    <mergeCell ref="A901:I901"/>
    <mergeCell ref="A875:I875"/>
    <mergeCell ref="B876:H876"/>
    <mergeCell ref="A882:H882"/>
    <mergeCell ref="A883:I883"/>
    <mergeCell ref="B884:H884"/>
    <mergeCell ref="B861:H861"/>
    <mergeCell ref="A864:H864"/>
    <mergeCell ref="A865:I865"/>
    <mergeCell ref="B866:H866"/>
    <mergeCell ref="A874:H874"/>
    <mergeCell ref="A851:H851"/>
    <mergeCell ref="A852:I852"/>
    <mergeCell ref="B853:H853"/>
    <mergeCell ref="A859:H859"/>
    <mergeCell ref="A860:I860"/>
    <mergeCell ref="A837:I837"/>
    <mergeCell ref="B838:H838"/>
    <mergeCell ref="A845:H845"/>
    <mergeCell ref="A846:I846"/>
    <mergeCell ref="B847:H847"/>
    <mergeCell ref="B822:H822"/>
    <mergeCell ref="A827:H827"/>
    <mergeCell ref="A828:I828"/>
    <mergeCell ref="B829:H829"/>
    <mergeCell ref="A836:H836"/>
    <mergeCell ref="A813:H813"/>
    <mergeCell ref="A814:I814"/>
    <mergeCell ref="B815:H815"/>
    <mergeCell ref="A820:H820"/>
    <mergeCell ref="A821:I821"/>
    <mergeCell ref="A798:I798"/>
    <mergeCell ref="B799:H799"/>
    <mergeCell ref="A804:H804"/>
    <mergeCell ref="A805:I805"/>
    <mergeCell ref="B806:H806"/>
    <mergeCell ref="B785:H785"/>
    <mergeCell ref="A790:H790"/>
    <mergeCell ref="A791:I791"/>
    <mergeCell ref="B792:H792"/>
    <mergeCell ref="A797:H797"/>
    <mergeCell ref="A776:H776"/>
    <mergeCell ref="A777:I777"/>
    <mergeCell ref="B778:H778"/>
    <mergeCell ref="A783:H783"/>
    <mergeCell ref="A784:I784"/>
    <mergeCell ref="A761:I761"/>
    <mergeCell ref="B762:H762"/>
    <mergeCell ref="A769:H769"/>
    <mergeCell ref="A770:I770"/>
    <mergeCell ref="B771:H771"/>
    <mergeCell ref="B744:H744"/>
    <mergeCell ref="A751:H751"/>
    <mergeCell ref="A752:I752"/>
    <mergeCell ref="B753:H753"/>
    <mergeCell ref="A760:H760"/>
    <mergeCell ref="A733:H733"/>
    <mergeCell ref="A734:I734"/>
    <mergeCell ref="B735:H735"/>
    <mergeCell ref="A742:H742"/>
    <mergeCell ref="A743:I743"/>
    <mergeCell ref="A720:I720"/>
    <mergeCell ref="B721:H721"/>
    <mergeCell ref="A726:H726"/>
    <mergeCell ref="A727:I727"/>
    <mergeCell ref="B728:H728"/>
    <mergeCell ref="B706:H706"/>
    <mergeCell ref="A714:H714"/>
    <mergeCell ref="A715:I715"/>
    <mergeCell ref="B716:H716"/>
    <mergeCell ref="A719:H719"/>
    <mergeCell ref="A694:H694"/>
    <mergeCell ref="A695:I695"/>
    <mergeCell ref="B696:H696"/>
    <mergeCell ref="A704:H704"/>
    <mergeCell ref="A705:I705"/>
    <mergeCell ref="A671:I671"/>
    <mergeCell ref="B672:H672"/>
    <mergeCell ref="A682:H682"/>
    <mergeCell ref="A683:I683"/>
    <mergeCell ref="B684:H684"/>
    <mergeCell ref="B648:H648"/>
    <mergeCell ref="A658:H658"/>
    <mergeCell ref="A659:I659"/>
    <mergeCell ref="B660:H660"/>
    <mergeCell ref="A670:H670"/>
    <mergeCell ref="A638:H638"/>
    <mergeCell ref="A639:I639"/>
    <mergeCell ref="B640:H640"/>
    <mergeCell ref="A646:H646"/>
    <mergeCell ref="A647:I647"/>
    <mergeCell ref="A620:I620"/>
    <mergeCell ref="B621:H621"/>
    <mergeCell ref="A628:H628"/>
    <mergeCell ref="A629:I629"/>
    <mergeCell ref="B630:H630"/>
    <mergeCell ref="B601:H601"/>
    <mergeCell ref="A610:H610"/>
    <mergeCell ref="A611:I611"/>
    <mergeCell ref="B612:H612"/>
    <mergeCell ref="A619:H619"/>
    <mergeCell ref="A590:H590"/>
    <mergeCell ref="A591:I591"/>
    <mergeCell ref="B592:H592"/>
    <mergeCell ref="A599:H599"/>
    <mergeCell ref="A600:I600"/>
    <mergeCell ref="A570:I570"/>
    <mergeCell ref="B571:H571"/>
    <mergeCell ref="A581:H581"/>
    <mergeCell ref="A582:I582"/>
    <mergeCell ref="B583:H583"/>
    <mergeCell ref="B548:H548"/>
    <mergeCell ref="A555:H555"/>
    <mergeCell ref="A556:I556"/>
    <mergeCell ref="B557:H557"/>
    <mergeCell ref="A569:H569"/>
    <mergeCell ref="A537:H537"/>
    <mergeCell ref="A538:I538"/>
    <mergeCell ref="B539:H539"/>
    <mergeCell ref="A546:H546"/>
    <mergeCell ref="A547:I547"/>
    <mergeCell ref="A520:I520"/>
    <mergeCell ref="B521:H521"/>
    <mergeCell ref="A528:H528"/>
    <mergeCell ref="A529:I529"/>
    <mergeCell ref="B530:H530"/>
    <mergeCell ref="B502:H502"/>
    <mergeCell ref="A510:H510"/>
    <mergeCell ref="A511:I511"/>
    <mergeCell ref="B512:H512"/>
    <mergeCell ref="A519:H519"/>
    <mergeCell ref="A489:H489"/>
    <mergeCell ref="A490:I490"/>
    <mergeCell ref="B491:H491"/>
    <mergeCell ref="A500:H500"/>
    <mergeCell ref="A501:I501"/>
    <mergeCell ref="A473:I473"/>
    <mergeCell ref="B474:H474"/>
    <mergeCell ref="A483:H483"/>
    <mergeCell ref="A484:I484"/>
    <mergeCell ref="B485:H485"/>
    <mergeCell ref="B456:H456"/>
    <mergeCell ref="A463:H463"/>
    <mergeCell ref="A464:I464"/>
    <mergeCell ref="B465:H465"/>
    <mergeCell ref="A472:H472"/>
    <mergeCell ref="A445:H445"/>
    <mergeCell ref="A446:I446"/>
    <mergeCell ref="B447:H447"/>
    <mergeCell ref="A454:H454"/>
    <mergeCell ref="A455:I455"/>
    <mergeCell ref="A428:I428"/>
    <mergeCell ref="B429:H429"/>
    <mergeCell ref="A436:H436"/>
    <mergeCell ref="A437:I437"/>
    <mergeCell ref="B438:H438"/>
    <mergeCell ref="B404:H404"/>
    <mergeCell ref="A416:H416"/>
    <mergeCell ref="A417:I417"/>
    <mergeCell ref="B418:H418"/>
    <mergeCell ref="A427:H427"/>
    <mergeCell ref="A397:H397"/>
    <mergeCell ref="A398:I398"/>
    <mergeCell ref="B399:H399"/>
    <mergeCell ref="A402:H402"/>
    <mergeCell ref="A403:I403"/>
    <mergeCell ref="A379:I379"/>
    <mergeCell ref="B380:H380"/>
    <mergeCell ref="A391:H391"/>
    <mergeCell ref="A392:I392"/>
    <mergeCell ref="B393:H393"/>
    <mergeCell ref="B362:H362"/>
    <mergeCell ref="A370:H370"/>
    <mergeCell ref="A371:I371"/>
    <mergeCell ref="B372:H372"/>
    <mergeCell ref="A378:H378"/>
    <mergeCell ref="A348:H348"/>
    <mergeCell ref="A349:I349"/>
    <mergeCell ref="B350:H350"/>
    <mergeCell ref="A360:H360"/>
    <mergeCell ref="A361:I361"/>
    <mergeCell ref="A224:I224"/>
    <mergeCell ref="B225:H225"/>
    <mergeCell ref="A270:H270"/>
    <mergeCell ref="A271:I271"/>
    <mergeCell ref="B272:H272"/>
    <mergeCell ref="B99:H99"/>
    <mergeCell ref="A177:H177"/>
    <mergeCell ref="A178:I178"/>
    <mergeCell ref="B179:H179"/>
    <mergeCell ref="A223:H223"/>
    <mergeCell ref="A74:H74"/>
    <mergeCell ref="A75:I75"/>
    <mergeCell ref="B76:H76"/>
    <mergeCell ref="A97:H97"/>
    <mergeCell ref="A98:I98"/>
    <mergeCell ref="B26:H26"/>
    <mergeCell ref="A32:H32"/>
    <mergeCell ref="A47:I47"/>
    <mergeCell ref="B48:H48"/>
    <mergeCell ref="A59:H59"/>
    <mergeCell ref="A60:I60"/>
    <mergeCell ref="B61:H61"/>
    <mergeCell ref="B34:H34"/>
    <mergeCell ref="A40:H40"/>
    <mergeCell ref="A41:I41"/>
    <mergeCell ref="B42:H42"/>
    <mergeCell ref="A46:H46"/>
    <mergeCell ref="A1:I1"/>
    <mergeCell ref="A2677:I2677"/>
    <mergeCell ref="A2678:I2678"/>
    <mergeCell ref="A2679:I2679"/>
    <mergeCell ref="A2680:I2680"/>
    <mergeCell ref="A2681:I2681"/>
    <mergeCell ref="A2:I3"/>
    <mergeCell ref="K2:K5"/>
    <mergeCell ref="L2:O2"/>
    <mergeCell ref="L3:L4"/>
    <mergeCell ref="M3:M4"/>
    <mergeCell ref="N3:O3"/>
    <mergeCell ref="B4:I4"/>
    <mergeCell ref="B5:H5"/>
    <mergeCell ref="A33:I33"/>
    <mergeCell ref="B6:H6"/>
    <mergeCell ref="L6:O6"/>
    <mergeCell ref="B7:H7"/>
    <mergeCell ref="B8:H8"/>
    <mergeCell ref="A13:H13"/>
    <mergeCell ref="A14:I14"/>
    <mergeCell ref="A25:I25"/>
    <mergeCell ref="A24:H24"/>
    <mergeCell ref="B15:H15"/>
  </mergeCells>
  <printOptions horizontalCentered="1"/>
  <pageMargins left="0.39370078740157483" right="0.39370078740157483" top="0.39370078740157483" bottom="0.39370078740157483" header="0.31496062992125984" footer="0.31496062992125984"/>
  <pageSetup paperSize="9" scale="70" orientation="portrait" r:id="rId1"/>
  <ignoredErrors>
    <ignoredError sqref="C1659:C1664 C1669:C1671 C1673 C1679:C1681 C1683 C1689:C1690 C1726:C1727 C1813:C1814 C1823:C1824 C1842:C1843 C1852:C1853 C1887:C1888 C1896:C1897 C1880:C1881 C2046:C2047 C2113:C2114 C2121:C2122 C2244:C2245 C2211:C2212 C2220:C2221 C2260:C226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01"/>
  <sheetViews>
    <sheetView topLeftCell="A487" workbookViewId="0">
      <selection activeCell="A498" sqref="A498:E499"/>
    </sheetView>
  </sheetViews>
  <sheetFormatPr defaultRowHeight="15"/>
  <cols>
    <col min="1" max="1" width="10.5703125" customWidth="1"/>
    <col min="2" max="2" width="56.85546875" customWidth="1"/>
    <col min="3" max="3" width="10" customWidth="1"/>
    <col min="4" max="4" width="9.28515625" customWidth="1"/>
    <col min="5" max="5" width="11.140625" customWidth="1"/>
    <col min="6" max="6" width="21.5703125" customWidth="1"/>
    <col min="8" max="8" width="19.28515625" customWidth="1"/>
    <col min="9" max="9" width="21.85546875" customWidth="1"/>
  </cols>
  <sheetData>
    <row r="1" spans="1:6">
      <c r="A1" s="58"/>
      <c r="B1" s="59"/>
      <c r="C1" s="59"/>
      <c r="D1" s="59"/>
      <c r="E1" s="59"/>
      <c r="F1" s="60"/>
    </row>
    <row r="2" spans="1:6">
      <c r="A2" s="55"/>
      <c r="B2" s="16"/>
      <c r="C2" s="16"/>
      <c r="D2" s="16"/>
      <c r="E2" s="16"/>
      <c r="F2" s="56"/>
    </row>
    <row r="3" spans="1:6">
      <c r="A3" s="55"/>
      <c r="B3" s="1950"/>
      <c r="C3" s="1950"/>
      <c r="D3" s="1950"/>
      <c r="E3" s="1950"/>
      <c r="F3" s="1951"/>
    </row>
    <row r="4" spans="1:6">
      <c r="A4" s="55"/>
      <c r="B4" s="1950"/>
      <c r="C4" s="1950"/>
      <c r="D4" s="1950"/>
      <c r="E4" s="1950"/>
      <c r="F4" s="1951"/>
    </row>
    <row r="5" spans="1:6">
      <c r="A5" s="55"/>
      <c r="B5" s="1952"/>
      <c r="C5" s="1952"/>
      <c r="D5" s="1952"/>
      <c r="E5" s="1952"/>
      <c r="F5" s="1953"/>
    </row>
    <row r="6" spans="1:6" ht="15.75" thickBot="1">
      <c r="A6" s="1026"/>
      <c r="B6" s="1139"/>
      <c r="C6" s="1139"/>
      <c r="D6" s="1139"/>
      <c r="E6" s="1139"/>
      <c r="F6" s="1140"/>
    </row>
    <row r="7" spans="1:6">
      <c r="A7" s="126" t="s">
        <v>0</v>
      </c>
      <c r="B7" s="212" t="str">
        <f>'PLANILHA SEM DESON'!B9:C9</f>
        <v>SEMA-PRO-2022/00145</v>
      </c>
      <c r="C7" s="213"/>
      <c r="D7" s="59"/>
      <c r="E7" s="127" t="s">
        <v>133</v>
      </c>
      <c r="F7" s="368">
        <f>'PLANILHA SEM DESON'!J12</f>
        <v>0</v>
      </c>
    </row>
    <row r="8" spans="1:6">
      <c r="A8" s="1249"/>
      <c r="B8" s="170"/>
      <c r="C8" s="214"/>
      <c r="D8" s="16"/>
      <c r="E8" s="1223"/>
      <c r="F8" s="1250"/>
    </row>
    <row r="9" spans="1:6">
      <c r="A9" s="104" t="s">
        <v>1</v>
      </c>
      <c r="B9" s="170" t="str">
        <f>'PLANILHA SEM DESON'!B10:C10</f>
        <v>CONSTRUÇÃO DE DIRETORIA DE UNIDADE DESCONCENTRADA DA SEMA - DUDS</v>
      </c>
      <c r="C9" s="214"/>
      <c r="D9" s="16"/>
      <c r="E9" s="16"/>
      <c r="F9" s="56"/>
    </row>
    <row r="10" spans="1:6" ht="25.5">
      <c r="A10" s="104" t="s">
        <v>2</v>
      </c>
      <c r="B10" s="170" t="str">
        <f>'PLANILHA SEM DESON'!B11:C11</f>
        <v>RUA 24 A - JARDIM TANGARA II</v>
      </c>
      <c r="C10" s="214"/>
      <c r="D10" s="16"/>
      <c r="E10" s="16"/>
      <c r="F10" s="56"/>
    </row>
    <row r="11" spans="1:6" ht="25.5">
      <c r="A11" s="104" t="s">
        <v>4</v>
      </c>
      <c r="B11" s="170" t="str">
        <f>'PLANILHA SEM DESON'!B12:C12</f>
        <v>TANGARÁ DA SERRA - MT</v>
      </c>
      <c r="C11" s="214"/>
      <c r="D11" s="16"/>
      <c r="E11" s="16"/>
      <c r="F11" s="56"/>
    </row>
    <row r="12" spans="1:6" ht="15.75" thickBot="1">
      <c r="A12" s="1141" t="s">
        <v>5</v>
      </c>
      <c r="B12" s="1247" t="str">
        <f>'PLANILHA SEM DESON'!B13</f>
        <v xml:space="preserve">CONSTRUÇÃO </v>
      </c>
      <c r="C12" s="1248"/>
      <c r="D12" s="1139"/>
      <c r="E12" s="1139"/>
      <c r="F12" s="1140"/>
    </row>
    <row r="13" spans="1:6" ht="15.75" thickBot="1">
      <c r="A13" s="2006" t="s">
        <v>540</v>
      </c>
      <c r="B13" s="2007"/>
      <c r="C13" s="2007"/>
      <c r="D13" s="2007"/>
      <c r="E13" s="2007"/>
      <c r="F13" s="2008"/>
    </row>
    <row r="14" spans="1:6">
      <c r="A14" s="70" t="s">
        <v>128</v>
      </c>
      <c r="B14" s="125" t="s">
        <v>120</v>
      </c>
      <c r="C14" s="71" t="s">
        <v>55</v>
      </c>
      <c r="D14" s="72"/>
      <c r="E14" s="73"/>
      <c r="F14" s="74"/>
    </row>
    <row r="15" spans="1:6" ht="30">
      <c r="A15" s="34"/>
      <c r="B15" s="35" t="s">
        <v>56</v>
      </c>
      <c r="C15" s="36" t="s">
        <v>49</v>
      </c>
      <c r="D15" s="37" t="s">
        <v>50</v>
      </c>
      <c r="E15" s="46" t="s">
        <v>62</v>
      </c>
      <c r="F15" s="38" t="s">
        <v>52</v>
      </c>
    </row>
    <row r="16" spans="1:6" ht="25.5">
      <c r="A16" s="61">
        <v>90776</v>
      </c>
      <c r="B16" s="98" t="s">
        <v>119</v>
      </c>
      <c r="C16" s="41" t="s">
        <v>57</v>
      </c>
      <c r="D16" s="31">
        <v>704</v>
      </c>
      <c r="E16" s="1280">
        <v>28.39</v>
      </c>
      <c r="F16" s="112">
        <f>TRUNC((D16*E16),2)</f>
        <v>19986.560000000001</v>
      </c>
    </row>
    <row r="17" spans="1:6">
      <c r="A17" s="61">
        <v>88326</v>
      </c>
      <c r="B17" s="466" t="s">
        <v>2184</v>
      </c>
      <c r="C17" s="41" t="s">
        <v>57</v>
      </c>
      <c r="D17" s="31">
        <v>1440</v>
      </c>
      <c r="E17" s="1280">
        <v>24.65</v>
      </c>
      <c r="F17" s="112">
        <f>TRUNC((D17*E17),2)</f>
        <v>35496</v>
      </c>
    </row>
    <row r="18" spans="1:6" ht="25.5">
      <c r="A18" s="61">
        <v>90777</v>
      </c>
      <c r="B18" s="98" t="s">
        <v>131</v>
      </c>
      <c r="C18" s="41" t="s">
        <v>57</v>
      </c>
      <c r="D18" s="31">
        <v>240</v>
      </c>
      <c r="E18" s="1257">
        <v>103.16</v>
      </c>
      <c r="F18" s="112">
        <f>TRUNC((D18*E18),2)</f>
        <v>24758.400000000001</v>
      </c>
    </row>
    <row r="19" spans="1:6">
      <c r="A19" s="39"/>
      <c r="B19" s="40"/>
      <c r="C19" s="10" t="s">
        <v>42</v>
      </c>
      <c r="D19" s="42" t="s">
        <v>42</v>
      </c>
      <c r="E19" s="167" t="s">
        <v>58</v>
      </c>
      <c r="F19" s="216">
        <f>SUM(F16:F18)</f>
        <v>80240.959999999992</v>
      </c>
    </row>
    <row r="20" spans="1:6" ht="15.75" thickBot="1">
      <c r="A20" s="982"/>
      <c r="B20" s="1960" t="s">
        <v>53</v>
      </c>
      <c r="C20" s="1961"/>
      <c r="D20" s="1961"/>
      <c r="E20" s="2009"/>
      <c r="F20" s="983">
        <f>F19</f>
        <v>80240.959999999992</v>
      </c>
    </row>
    <row r="21" spans="1:6" ht="15.75" thickBot="1">
      <c r="A21" s="84"/>
      <c r="B21" s="2010" t="s">
        <v>134</v>
      </c>
      <c r="C21" s="2011"/>
      <c r="D21" s="2011"/>
      <c r="E21" s="2012"/>
      <c r="F21" s="85"/>
    </row>
    <row r="22" spans="1:6" ht="47.25" customHeight="1" thickBot="1">
      <c r="A22" s="1224"/>
      <c r="B22" s="2013" t="s">
        <v>2397</v>
      </c>
      <c r="C22" s="2013"/>
      <c r="D22" s="2013"/>
      <c r="E22" s="2013"/>
      <c r="F22" s="1225"/>
    </row>
    <row r="23" spans="1:6" ht="15.75" thickBot="1">
      <c r="A23" s="95"/>
      <c r="B23" s="95"/>
      <c r="C23" s="95"/>
      <c r="D23" s="95"/>
      <c r="E23" s="95"/>
      <c r="F23" s="95"/>
    </row>
    <row r="24" spans="1:6">
      <c r="A24" s="70" t="s">
        <v>132</v>
      </c>
      <c r="B24" s="188" t="s">
        <v>629</v>
      </c>
      <c r="C24" s="71" t="s">
        <v>46</v>
      </c>
      <c r="D24" s="72"/>
      <c r="E24" s="73"/>
      <c r="F24" s="124"/>
    </row>
    <row r="25" spans="1:6">
      <c r="A25" s="1946" t="s">
        <v>403</v>
      </c>
      <c r="B25" s="1947"/>
      <c r="C25" s="1947"/>
      <c r="D25" s="1947"/>
      <c r="E25" s="1947"/>
      <c r="F25" s="1948"/>
    </row>
    <row r="26" spans="1:6" ht="30">
      <c r="A26" s="131"/>
      <c r="B26" s="132" t="s">
        <v>56</v>
      </c>
      <c r="C26" s="133" t="s">
        <v>49</v>
      </c>
      <c r="D26" s="134" t="s">
        <v>50</v>
      </c>
      <c r="E26" s="135" t="s">
        <v>62</v>
      </c>
      <c r="F26" s="136" t="s">
        <v>52</v>
      </c>
    </row>
    <row r="27" spans="1:6" ht="25.5">
      <c r="A27" s="938">
        <v>88262</v>
      </c>
      <c r="B27" s="211" t="s">
        <v>441</v>
      </c>
      <c r="C27" s="189" t="s">
        <v>57</v>
      </c>
      <c r="D27" s="111">
        <v>1</v>
      </c>
      <c r="E27" s="1257">
        <v>24.32</v>
      </c>
      <c r="F27" s="1163">
        <f>TRUNC((D27*E27),2)</f>
        <v>24.32</v>
      </c>
    </row>
    <row r="28" spans="1:6">
      <c r="A28" s="938">
        <v>88316</v>
      </c>
      <c r="B28" s="211" t="s">
        <v>66</v>
      </c>
      <c r="C28" s="189" t="s">
        <v>57</v>
      </c>
      <c r="D28" s="111">
        <v>2</v>
      </c>
      <c r="E28" s="1257">
        <v>19.45</v>
      </c>
      <c r="F28" s="1163">
        <f>TRUNC((D28*E28),2)</f>
        <v>38.9</v>
      </c>
    </row>
    <row r="29" spans="1:6">
      <c r="A29" s="1164"/>
      <c r="B29" s="1226"/>
      <c r="C29" s="194" t="s">
        <v>42</v>
      </c>
      <c r="D29" s="195" t="s">
        <v>42</v>
      </c>
      <c r="E29" s="167" t="s">
        <v>58</v>
      </c>
      <c r="F29" s="1227">
        <f>SUM(F27:F28)</f>
        <v>63.22</v>
      </c>
    </row>
    <row r="30" spans="1:6" ht="30">
      <c r="A30" s="1164"/>
      <c r="B30" s="1228" t="s">
        <v>95</v>
      </c>
      <c r="C30" s="28" t="s">
        <v>49</v>
      </c>
      <c r="D30" s="29" t="s">
        <v>50</v>
      </c>
      <c r="E30" s="46" t="s">
        <v>62</v>
      </c>
      <c r="F30" s="1227" t="s">
        <v>52</v>
      </c>
    </row>
    <row r="31" spans="1:6" ht="38.25">
      <c r="A31" s="943">
        <v>94962</v>
      </c>
      <c r="B31" s="211" t="s">
        <v>442</v>
      </c>
      <c r="C31" s="189" t="s">
        <v>47</v>
      </c>
      <c r="D31" s="111">
        <v>0.01</v>
      </c>
      <c r="E31" s="1287">
        <v>438.71</v>
      </c>
      <c r="F31" s="1163">
        <f>TRUNC((D31*E31),2)</f>
        <v>4.38</v>
      </c>
    </row>
    <row r="32" spans="1:6" ht="25.5">
      <c r="A32" s="943">
        <v>4417</v>
      </c>
      <c r="B32" s="211" t="s">
        <v>443</v>
      </c>
      <c r="C32" s="189" t="s">
        <v>54</v>
      </c>
      <c r="D32" s="111">
        <v>1</v>
      </c>
      <c r="E32" s="1287">
        <v>6.93</v>
      </c>
      <c r="F32" s="1163">
        <f>TRUNC((D32*E32),2)</f>
        <v>6.93</v>
      </c>
    </row>
    <row r="33" spans="1:6" ht="25.5">
      <c r="A33" s="943">
        <v>4491</v>
      </c>
      <c r="B33" s="211" t="s">
        <v>444</v>
      </c>
      <c r="C33" s="189" t="s">
        <v>54</v>
      </c>
      <c r="D33" s="111">
        <v>4</v>
      </c>
      <c r="E33" s="1287">
        <v>11.67</v>
      </c>
      <c r="F33" s="1163">
        <f>TRUNC((D33*E33),2)</f>
        <v>46.68</v>
      </c>
    </row>
    <row r="34" spans="1:6" ht="25.5">
      <c r="A34" s="943">
        <v>4813</v>
      </c>
      <c r="B34" s="211" t="s">
        <v>445</v>
      </c>
      <c r="C34" s="189" t="s">
        <v>46</v>
      </c>
      <c r="D34" s="111">
        <v>1</v>
      </c>
      <c r="E34" s="1287">
        <v>400</v>
      </c>
      <c r="F34" s="1163">
        <f>TRUNC((D34*E34),2)</f>
        <v>400</v>
      </c>
    </row>
    <row r="35" spans="1:6" ht="15.75" thickBot="1">
      <c r="A35" s="1138">
        <v>5075</v>
      </c>
      <c r="B35" s="971" t="s">
        <v>446</v>
      </c>
      <c r="C35" s="1221" t="s">
        <v>100</v>
      </c>
      <c r="D35" s="974">
        <v>0.11</v>
      </c>
      <c r="E35" s="1288">
        <v>25.89</v>
      </c>
      <c r="F35" s="1173">
        <f>TRUNC((D35*E35),2)</f>
        <v>2.84</v>
      </c>
    </row>
    <row r="36" spans="1:6" ht="15.75" thickBot="1">
      <c r="A36" s="1180"/>
      <c r="B36" s="1181"/>
      <c r="C36" s="1229"/>
      <c r="D36" s="1230"/>
      <c r="E36" s="1231" t="s">
        <v>58</v>
      </c>
      <c r="F36" s="1184">
        <f>SUM(F31:F35)</f>
        <v>460.83</v>
      </c>
    </row>
    <row r="37" spans="1:6" ht="15.75" thickBot="1">
      <c r="A37" s="982"/>
      <c r="B37" s="2014" t="s">
        <v>53</v>
      </c>
      <c r="C37" s="2014"/>
      <c r="D37" s="2014"/>
      <c r="E37" s="2014"/>
      <c r="F37" s="983">
        <f>F29+F36</f>
        <v>524.04999999999995</v>
      </c>
    </row>
    <row r="38" spans="1:6" ht="15.75" thickBot="1">
      <c r="A38" s="95"/>
      <c r="B38" s="95"/>
      <c r="C38" s="95"/>
      <c r="D38" s="95"/>
      <c r="E38" s="95"/>
      <c r="F38" s="95"/>
    </row>
    <row r="39" spans="1:6" ht="25.5">
      <c r="A39" s="230" t="s">
        <v>135</v>
      </c>
      <c r="B39" s="228" t="s">
        <v>203</v>
      </c>
      <c r="C39" s="71" t="s">
        <v>55</v>
      </c>
      <c r="D39" s="72"/>
      <c r="E39" s="72"/>
      <c r="F39" s="209"/>
    </row>
    <row r="40" spans="1:6">
      <c r="A40" s="1957" t="s">
        <v>634</v>
      </c>
      <c r="B40" s="1958"/>
      <c r="C40" s="1958"/>
      <c r="D40" s="1958"/>
      <c r="E40" s="1958"/>
      <c r="F40" s="1959"/>
    </row>
    <row r="41" spans="1:6" ht="30">
      <c r="A41" s="936"/>
      <c r="B41" s="946" t="s">
        <v>56</v>
      </c>
      <c r="C41" s="36" t="s">
        <v>49</v>
      </c>
      <c r="D41" s="37" t="s">
        <v>50</v>
      </c>
      <c r="E41" s="135" t="s">
        <v>62</v>
      </c>
      <c r="F41" s="937" t="s">
        <v>52</v>
      </c>
    </row>
    <row r="42" spans="1:6">
      <c r="A42" s="206">
        <v>88264</v>
      </c>
      <c r="B42" s="1220" t="s">
        <v>94</v>
      </c>
      <c r="C42" s="41" t="s">
        <v>57</v>
      </c>
      <c r="D42" s="113">
        <v>8</v>
      </c>
      <c r="E42" s="1287">
        <v>25.54</v>
      </c>
      <c r="F42" s="939">
        <f>TRUNC((D42*E42),2)</f>
        <v>204.32</v>
      </c>
    </row>
    <row r="43" spans="1:6">
      <c r="A43" s="940">
        <v>88316</v>
      </c>
      <c r="B43" s="170" t="s">
        <v>66</v>
      </c>
      <c r="C43" s="41" t="s">
        <v>57</v>
      </c>
      <c r="D43" s="113">
        <v>8</v>
      </c>
      <c r="E43" s="1257">
        <v>19.45</v>
      </c>
      <c r="F43" s="939">
        <f>TRUNC((D43*E43),2)</f>
        <v>155.6</v>
      </c>
    </row>
    <row r="44" spans="1:6">
      <c r="A44" s="969"/>
      <c r="B44" s="941"/>
      <c r="C44" s="10" t="s">
        <v>42</v>
      </c>
      <c r="D44" s="42" t="s">
        <v>42</v>
      </c>
      <c r="E44" s="42"/>
      <c r="F44" s="942">
        <f>SUM(F42:F43)</f>
        <v>359.91999999999996</v>
      </c>
    </row>
    <row r="45" spans="1:6" ht="30">
      <c r="A45" s="969"/>
      <c r="B45" s="946" t="s">
        <v>95</v>
      </c>
      <c r="C45" s="36" t="s">
        <v>49</v>
      </c>
      <c r="D45" s="37" t="s">
        <v>50</v>
      </c>
      <c r="E45" s="135" t="s">
        <v>62</v>
      </c>
      <c r="F45" s="937" t="s">
        <v>52</v>
      </c>
    </row>
    <row r="46" spans="1:6" ht="25.5">
      <c r="A46" s="206">
        <v>406</v>
      </c>
      <c r="B46" s="211" t="s">
        <v>541</v>
      </c>
      <c r="C46" s="41" t="s">
        <v>55</v>
      </c>
      <c r="D46" s="221">
        <v>0.13333329999999999</v>
      </c>
      <c r="E46" s="1287">
        <v>109.18</v>
      </c>
      <c r="F46" s="939">
        <f>TRUNC((D46*E46),2)</f>
        <v>14.55</v>
      </c>
    </row>
    <row r="47" spans="1:6" ht="38.25">
      <c r="A47" s="206">
        <v>420</v>
      </c>
      <c r="B47" s="933" t="s">
        <v>542</v>
      </c>
      <c r="C47" s="41" t="s">
        <v>55</v>
      </c>
      <c r="D47" s="207">
        <v>2</v>
      </c>
      <c r="E47" s="1287">
        <v>42.08</v>
      </c>
      <c r="F47" s="939">
        <f>TRUNC((D47*E47),2)</f>
        <v>84.16</v>
      </c>
    </row>
    <row r="48" spans="1:6">
      <c r="A48" s="206">
        <v>857</v>
      </c>
      <c r="B48" s="211" t="s">
        <v>543</v>
      </c>
      <c r="C48" s="41" t="s">
        <v>54</v>
      </c>
      <c r="D48" s="207">
        <v>3</v>
      </c>
      <c r="E48" s="1287">
        <v>16.920000000000002</v>
      </c>
      <c r="F48" s="939">
        <f t="shared" ref="F48:F62" si="0">TRUNC((D48*E48),2)</f>
        <v>50.76</v>
      </c>
    </row>
    <row r="49" spans="1:6" ht="25.5">
      <c r="A49" s="206">
        <v>937</v>
      </c>
      <c r="B49" s="211" t="s">
        <v>544</v>
      </c>
      <c r="C49" s="41" t="s">
        <v>54</v>
      </c>
      <c r="D49" s="207">
        <v>27</v>
      </c>
      <c r="E49" s="1287">
        <v>8.64</v>
      </c>
      <c r="F49" s="939">
        <f t="shared" si="0"/>
        <v>233.28</v>
      </c>
    </row>
    <row r="50" spans="1:6" ht="38.25">
      <c r="A50" s="206">
        <v>1062</v>
      </c>
      <c r="B50" s="211" t="s">
        <v>545</v>
      </c>
      <c r="C50" s="41" t="s">
        <v>55</v>
      </c>
      <c r="D50" s="207">
        <v>1</v>
      </c>
      <c r="E50" s="1287">
        <v>350.88</v>
      </c>
      <c r="F50" s="939">
        <f t="shared" si="0"/>
        <v>350.88</v>
      </c>
    </row>
    <row r="51" spans="1:6" ht="42.75" customHeight="1">
      <c r="A51" s="206">
        <v>1096</v>
      </c>
      <c r="B51" s="211" t="s">
        <v>546</v>
      </c>
      <c r="C51" s="41" t="s">
        <v>55</v>
      </c>
      <c r="D51" s="207">
        <v>2</v>
      </c>
      <c r="E51" s="1287">
        <v>139.65</v>
      </c>
      <c r="F51" s="939">
        <f t="shared" si="0"/>
        <v>279.3</v>
      </c>
    </row>
    <row r="52" spans="1:6" ht="25.5">
      <c r="A52" s="206">
        <v>1539</v>
      </c>
      <c r="B52" s="211" t="s">
        <v>547</v>
      </c>
      <c r="C52" s="41" t="s">
        <v>55</v>
      </c>
      <c r="D52" s="207">
        <v>8</v>
      </c>
      <c r="E52" s="1287">
        <v>7.41</v>
      </c>
      <c r="F52" s="939">
        <f t="shared" si="0"/>
        <v>59.28</v>
      </c>
    </row>
    <row r="53" spans="1:6" ht="25.5">
      <c r="A53" s="206">
        <v>1892</v>
      </c>
      <c r="B53" s="211" t="s">
        <v>548</v>
      </c>
      <c r="C53" s="41" t="s">
        <v>55</v>
      </c>
      <c r="D53" s="207">
        <v>4</v>
      </c>
      <c r="E53" s="1287">
        <v>1.73</v>
      </c>
      <c r="F53" s="939">
        <f t="shared" si="0"/>
        <v>6.92</v>
      </c>
    </row>
    <row r="54" spans="1:6" ht="25.5">
      <c r="A54" s="206">
        <v>2392</v>
      </c>
      <c r="B54" s="211" t="s">
        <v>549</v>
      </c>
      <c r="C54" s="41" t="s">
        <v>55</v>
      </c>
      <c r="D54" s="207">
        <v>1</v>
      </c>
      <c r="E54" s="1287">
        <v>87.2</v>
      </c>
      <c r="F54" s="939">
        <f t="shared" si="0"/>
        <v>87.2</v>
      </c>
    </row>
    <row r="55" spans="1:6">
      <c r="A55" s="206">
        <v>2685</v>
      </c>
      <c r="B55" s="211" t="s">
        <v>550</v>
      </c>
      <c r="C55" s="41" t="s">
        <v>54</v>
      </c>
      <c r="D55" s="207">
        <v>8</v>
      </c>
      <c r="E55" s="1287">
        <v>7.57</v>
      </c>
      <c r="F55" s="939">
        <f t="shared" si="0"/>
        <v>60.56</v>
      </c>
    </row>
    <row r="56" spans="1:6" ht="27.75" customHeight="1">
      <c r="A56" s="206">
        <v>2731</v>
      </c>
      <c r="B56" s="211" t="s">
        <v>551</v>
      </c>
      <c r="C56" s="41" t="s">
        <v>54</v>
      </c>
      <c r="D56" s="207">
        <v>7.96</v>
      </c>
      <c r="E56" s="1287">
        <v>111.49</v>
      </c>
      <c r="F56" s="939">
        <f t="shared" si="0"/>
        <v>887.46</v>
      </c>
    </row>
    <row r="57" spans="1:6" ht="38.25">
      <c r="A57" s="206">
        <v>3379</v>
      </c>
      <c r="B57" s="98" t="s">
        <v>2225</v>
      </c>
      <c r="C57" s="41" t="s">
        <v>55</v>
      </c>
      <c r="D57" s="207">
        <v>1</v>
      </c>
      <c r="E57" s="1287">
        <v>64.59</v>
      </c>
      <c r="F57" s="939">
        <f t="shared" si="0"/>
        <v>64.59</v>
      </c>
    </row>
    <row r="58" spans="1:6" ht="38.25">
      <c r="A58" s="206">
        <v>4346</v>
      </c>
      <c r="B58" s="211" t="s">
        <v>552</v>
      </c>
      <c r="C58" s="41" t="s">
        <v>55</v>
      </c>
      <c r="D58" s="207">
        <v>2</v>
      </c>
      <c r="E58" s="1287">
        <v>11.29</v>
      </c>
      <c r="F58" s="939">
        <f t="shared" si="0"/>
        <v>22.58</v>
      </c>
    </row>
    <row r="59" spans="1:6" ht="25.5">
      <c r="A59" s="206">
        <v>11267</v>
      </c>
      <c r="B59" s="211" t="s">
        <v>553</v>
      </c>
      <c r="C59" s="41" t="s">
        <v>55</v>
      </c>
      <c r="D59" s="207">
        <v>2</v>
      </c>
      <c r="E59" s="1287">
        <v>1.1100000000000001</v>
      </c>
      <c r="F59" s="939">
        <f t="shared" si="0"/>
        <v>2.2200000000000002</v>
      </c>
    </row>
    <row r="60" spans="1:6" ht="26.25" thickBot="1">
      <c r="A60" s="970">
        <v>12034</v>
      </c>
      <c r="B60" s="971" t="s">
        <v>554</v>
      </c>
      <c r="C60" s="972" t="s">
        <v>55</v>
      </c>
      <c r="D60" s="973">
        <v>2</v>
      </c>
      <c r="E60" s="1288">
        <v>4.6900000000000004</v>
      </c>
      <c r="F60" s="975">
        <f t="shared" si="0"/>
        <v>9.3800000000000008</v>
      </c>
    </row>
    <row r="61" spans="1:6" ht="28.5" customHeight="1">
      <c r="A61" s="976">
        <v>39176</v>
      </c>
      <c r="B61" s="977" t="s">
        <v>555</v>
      </c>
      <c r="C61" s="978" t="s">
        <v>55</v>
      </c>
      <c r="D61" s="979">
        <v>2</v>
      </c>
      <c r="E61" s="980">
        <v>1.1499999999999999</v>
      </c>
      <c r="F61" s="990">
        <f t="shared" si="0"/>
        <v>2.2999999999999998</v>
      </c>
    </row>
    <row r="62" spans="1:6" ht="25.5">
      <c r="A62" s="206">
        <v>39210</v>
      </c>
      <c r="B62" s="211" t="s">
        <v>556</v>
      </c>
      <c r="C62" s="41" t="s">
        <v>55</v>
      </c>
      <c r="D62" s="207">
        <v>2</v>
      </c>
      <c r="E62" s="1287">
        <v>0.9</v>
      </c>
      <c r="F62" s="939">
        <f t="shared" si="0"/>
        <v>1.8</v>
      </c>
    </row>
    <row r="63" spans="1:6">
      <c r="A63" s="61"/>
      <c r="B63" s="86"/>
      <c r="C63" s="66"/>
      <c r="D63" s="87"/>
      <c r="E63" s="87"/>
      <c r="F63" s="216">
        <f>SUM(F46:F62)</f>
        <v>2217.2200000000007</v>
      </c>
    </row>
    <row r="64" spans="1:6" ht="15.75" thickBot="1">
      <c r="A64" s="982"/>
      <c r="B64" s="2003" t="s">
        <v>53</v>
      </c>
      <c r="C64" s="2004"/>
      <c r="D64" s="2004"/>
      <c r="E64" s="2004"/>
      <c r="F64" s="983">
        <f>F44+F63</f>
        <v>2577.1400000000008</v>
      </c>
    </row>
    <row r="65" spans="1:9" ht="15.75" thickBot="1">
      <c r="A65" s="95"/>
      <c r="B65" s="95"/>
      <c r="C65" s="95"/>
      <c r="D65" s="95"/>
      <c r="E65" s="95"/>
      <c r="F65" s="95"/>
    </row>
    <row r="66" spans="1:9" ht="38.25">
      <c r="A66" s="230" t="s">
        <v>557</v>
      </c>
      <c r="B66" s="227" t="s">
        <v>1458</v>
      </c>
      <c r="C66" s="71" t="s">
        <v>55</v>
      </c>
      <c r="D66" s="72"/>
      <c r="E66" s="73"/>
      <c r="F66" s="74"/>
    </row>
    <row r="67" spans="1:9">
      <c r="A67" s="2015" t="s">
        <v>1459</v>
      </c>
      <c r="B67" s="2016"/>
      <c r="C67" s="2016"/>
      <c r="D67" s="2016"/>
      <c r="E67" s="2016"/>
      <c r="F67" s="2017"/>
    </row>
    <row r="68" spans="1:9" ht="30">
      <c r="A68" s="1437"/>
      <c r="B68" s="1438" t="s">
        <v>56</v>
      </c>
      <c r="C68" s="1439" t="s">
        <v>49</v>
      </c>
      <c r="D68" s="1440" t="s">
        <v>50</v>
      </c>
      <c r="E68" s="1276" t="s">
        <v>62</v>
      </c>
      <c r="F68" s="1441" t="s">
        <v>52</v>
      </c>
    </row>
    <row r="69" spans="1:9">
      <c r="A69" s="1305">
        <v>88309</v>
      </c>
      <c r="B69" s="995" t="s">
        <v>103</v>
      </c>
      <c r="C69" s="1302" t="s">
        <v>57</v>
      </c>
      <c r="D69" s="1442">
        <v>2.73</v>
      </c>
      <c r="E69" s="1281">
        <v>24.59</v>
      </c>
      <c r="F69" s="1443">
        <f>TRUNC((D69*E69),2)</f>
        <v>67.13</v>
      </c>
    </row>
    <row r="70" spans="1:9">
      <c r="A70" s="938">
        <v>88316</v>
      </c>
      <c r="B70" s="995" t="s">
        <v>66</v>
      </c>
      <c r="C70" s="1302" t="s">
        <v>57</v>
      </c>
      <c r="D70" s="1442">
        <v>4.0949999999999998</v>
      </c>
      <c r="E70" s="1257">
        <v>19.45</v>
      </c>
      <c r="F70" s="1443">
        <f>TRUNC((D70*E70),2)</f>
        <v>79.64</v>
      </c>
    </row>
    <row r="71" spans="1:9">
      <c r="A71" s="1305"/>
      <c r="B71" s="1444"/>
      <c r="C71" s="1302" t="s">
        <v>42</v>
      </c>
      <c r="D71" s="1445" t="s">
        <v>42</v>
      </c>
      <c r="E71" s="1446" t="s">
        <v>58</v>
      </c>
      <c r="F71" s="1161">
        <f>SUM(F69:F70)</f>
        <v>146.76999999999998</v>
      </c>
    </row>
    <row r="72" spans="1:9" ht="30">
      <c r="A72" s="1305"/>
      <c r="B72" s="986" t="s">
        <v>95</v>
      </c>
      <c r="C72" s="1439" t="s">
        <v>49</v>
      </c>
      <c r="D72" s="1440" t="s">
        <v>50</v>
      </c>
      <c r="E72" s="1276" t="s">
        <v>62</v>
      </c>
      <c r="F72" s="1441" t="s">
        <v>52</v>
      </c>
    </row>
    <row r="73" spans="1:9" ht="25.5">
      <c r="A73" s="1301">
        <v>88630</v>
      </c>
      <c r="B73" s="1256" t="s">
        <v>1640</v>
      </c>
      <c r="C73" s="1302" t="s">
        <v>47</v>
      </c>
      <c r="D73" s="1447">
        <v>8.1899999999999994E-3</v>
      </c>
      <c r="E73" s="1287">
        <v>549.95000000000005</v>
      </c>
      <c r="F73" s="1443">
        <f>TRUNC((D73*E73),2)</f>
        <v>4.5</v>
      </c>
    </row>
    <row r="74" spans="1:9" ht="51">
      <c r="A74" s="1301" t="s">
        <v>65</v>
      </c>
      <c r="B74" s="1256" t="s">
        <v>2226</v>
      </c>
      <c r="C74" s="1302" t="s">
        <v>55</v>
      </c>
      <c r="D74" s="1448">
        <v>1</v>
      </c>
      <c r="E74" s="1287">
        <f>C83</f>
        <v>3780</v>
      </c>
      <c r="F74" s="1443">
        <f>TRUNC((D74*E74),2)</f>
        <v>3780</v>
      </c>
      <c r="I74" s="389"/>
    </row>
    <row r="75" spans="1:9">
      <c r="A75" s="1449"/>
      <c r="B75" s="1450"/>
      <c r="C75" s="1318"/>
      <c r="D75" s="1451"/>
      <c r="E75" s="1446" t="s">
        <v>58</v>
      </c>
      <c r="F75" s="1452">
        <f>SUM(F73:F74)</f>
        <v>3784.5</v>
      </c>
    </row>
    <row r="76" spans="1:9">
      <c r="A76" s="89"/>
      <c r="B76" s="2018" t="s">
        <v>53</v>
      </c>
      <c r="C76" s="2018"/>
      <c r="D76" s="2018"/>
      <c r="E76" s="2018"/>
      <c r="F76" s="90">
        <f>F71+F75</f>
        <v>3931.27</v>
      </c>
    </row>
    <row r="77" spans="1:9" ht="72.75" customHeight="1" thickBot="1">
      <c r="A77" s="1453"/>
      <c r="B77" s="1454" t="s">
        <v>2398</v>
      </c>
      <c r="C77" s="2019" t="s">
        <v>2399</v>
      </c>
      <c r="D77" s="2019"/>
      <c r="E77" s="1455"/>
      <c r="F77" s="1456" t="s">
        <v>2400</v>
      </c>
      <c r="H77" s="389"/>
      <c r="I77" s="389"/>
    </row>
    <row r="78" spans="1:9">
      <c r="A78" s="271"/>
      <c r="B78" s="1972" t="s">
        <v>96</v>
      </c>
      <c r="C78" s="1973"/>
      <c r="D78" s="1973"/>
      <c r="E78" s="1974"/>
      <c r="F78" s="272"/>
    </row>
    <row r="79" spans="1:9" ht="25.5">
      <c r="A79" s="1275" t="s">
        <v>59</v>
      </c>
      <c r="B79" s="1276" t="s">
        <v>97</v>
      </c>
      <c r="C79" s="1277" t="s">
        <v>98</v>
      </c>
      <c r="D79" s="1975" t="s">
        <v>60</v>
      </c>
      <c r="E79" s="1975"/>
      <c r="F79" s="1278" t="s">
        <v>99</v>
      </c>
    </row>
    <row r="80" spans="1:9" ht="35.25" customHeight="1">
      <c r="A80" s="1255">
        <v>44854</v>
      </c>
      <c r="B80" s="1256" t="s">
        <v>2085</v>
      </c>
      <c r="C80" s="1257">
        <v>3780</v>
      </c>
      <c r="D80" s="1977" t="s">
        <v>2103</v>
      </c>
      <c r="E80" s="1977"/>
      <c r="F80" s="1457" t="s">
        <v>2404</v>
      </c>
    </row>
    <row r="81" spans="1:6" ht="30" customHeight="1">
      <c r="A81" s="1255">
        <v>44859</v>
      </c>
      <c r="B81" s="1256" t="s">
        <v>2086</v>
      </c>
      <c r="C81" s="1257">
        <v>6320</v>
      </c>
      <c r="D81" s="1977" t="s">
        <v>2104</v>
      </c>
      <c r="E81" s="1977"/>
      <c r="F81" s="1457" t="s">
        <v>2405</v>
      </c>
    </row>
    <row r="82" spans="1:6" ht="21.75" customHeight="1">
      <c r="A82" s="1255">
        <v>44855</v>
      </c>
      <c r="B82" s="1256" t="s">
        <v>2238</v>
      </c>
      <c r="C82" s="1257">
        <v>3050</v>
      </c>
      <c r="D82" s="1977" t="s">
        <v>2239</v>
      </c>
      <c r="E82" s="1977"/>
      <c r="F82" s="1457" t="s">
        <v>2237</v>
      </c>
    </row>
    <row r="83" spans="1:6" ht="15.75" thickBot="1">
      <c r="A83" s="1279"/>
      <c r="B83" s="1129" t="s">
        <v>61</v>
      </c>
      <c r="C83" s="1130">
        <f>MEDIAN(C80:C82)</f>
        <v>3780</v>
      </c>
      <c r="D83" s="1964"/>
      <c r="E83" s="2005"/>
      <c r="F83" s="1131"/>
    </row>
    <row r="84" spans="1:6" ht="15.75" thickBot="1">
      <c r="A84" s="95"/>
      <c r="B84" s="95"/>
      <c r="C84" s="95"/>
      <c r="D84" s="95"/>
      <c r="E84" s="95"/>
      <c r="F84" s="95"/>
    </row>
    <row r="85" spans="1:6" ht="38.25">
      <c r="A85" s="70" t="s">
        <v>1457</v>
      </c>
      <c r="B85" s="227" t="s">
        <v>2235</v>
      </c>
      <c r="C85" s="71" t="s">
        <v>55</v>
      </c>
      <c r="D85" s="72"/>
      <c r="E85" s="73"/>
      <c r="F85" s="74"/>
    </row>
    <row r="86" spans="1:6">
      <c r="A86" s="1946" t="s">
        <v>1564</v>
      </c>
      <c r="B86" s="1947"/>
      <c r="C86" s="1947"/>
      <c r="D86" s="1947"/>
      <c r="E86" s="1947"/>
      <c r="F86" s="1948"/>
    </row>
    <row r="87" spans="1:6" ht="30">
      <c r="A87" s="34"/>
      <c r="B87" s="35" t="s">
        <v>56</v>
      </c>
      <c r="C87" s="36" t="s">
        <v>49</v>
      </c>
      <c r="D87" s="37" t="s">
        <v>50</v>
      </c>
      <c r="E87" s="46" t="s">
        <v>62</v>
      </c>
      <c r="F87" s="38" t="s">
        <v>52</v>
      </c>
    </row>
    <row r="88" spans="1:6">
      <c r="A88" s="206"/>
      <c r="B88" s="43"/>
      <c r="C88" s="41"/>
      <c r="D88" s="114"/>
      <c r="E88" s="96"/>
      <c r="F88" s="112"/>
    </row>
    <row r="89" spans="1:6">
      <c r="A89" s="206"/>
      <c r="B89" s="40"/>
      <c r="C89" s="41" t="s">
        <v>42</v>
      </c>
      <c r="D89" s="42" t="s">
        <v>42</v>
      </c>
      <c r="E89" s="245" t="s">
        <v>58</v>
      </c>
      <c r="F89" s="216">
        <f>SUM(F88:F88)</f>
        <v>0</v>
      </c>
    </row>
    <row r="90" spans="1:6" ht="30">
      <c r="A90" s="206"/>
      <c r="B90" s="986" t="s">
        <v>95</v>
      </c>
      <c r="C90" s="36" t="s">
        <v>49</v>
      </c>
      <c r="D90" s="37" t="s">
        <v>50</v>
      </c>
      <c r="E90" s="46" t="s">
        <v>62</v>
      </c>
      <c r="F90" s="38" t="s">
        <v>52</v>
      </c>
    </row>
    <row r="91" spans="1:6" ht="25.5">
      <c r="A91" s="279" t="s">
        <v>65</v>
      </c>
      <c r="B91" s="508" t="s">
        <v>2227</v>
      </c>
      <c r="C91" s="41" t="s">
        <v>55</v>
      </c>
      <c r="D91" s="113">
        <v>1</v>
      </c>
      <c r="E91" s="96">
        <f>C99</f>
        <v>1760</v>
      </c>
      <c r="F91" s="987">
        <f>TRUNC((D91*E91),2)</f>
        <v>1760</v>
      </c>
    </row>
    <row r="92" spans="1:6">
      <c r="A92" s="287"/>
      <c r="B92" s="86"/>
      <c r="C92" s="66"/>
      <c r="D92" s="87"/>
      <c r="E92" s="245" t="s">
        <v>58</v>
      </c>
      <c r="F92" s="601">
        <f>SUM(F91:F91)</f>
        <v>1760</v>
      </c>
    </row>
    <row r="93" spans="1:6" ht="15.75" thickBot="1">
      <c r="A93" s="982"/>
      <c r="B93" s="1990" t="s">
        <v>53</v>
      </c>
      <c r="C93" s="1990"/>
      <c r="D93" s="1990"/>
      <c r="E93" s="1990"/>
      <c r="F93" s="988">
        <f>F89+F92</f>
        <v>1760</v>
      </c>
    </row>
    <row r="94" spans="1:6">
      <c r="A94" s="89"/>
      <c r="B94" s="1983" t="s">
        <v>96</v>
      </c>
      <c r="C94" s="1984"/>
      <c r="D94" s="1984"/>
      <c r="E94" s="1985"/>
      <c r="F94" s="90"/>
    </row>
    <row r="95" spans="1:6" ht="25.5">
      <c r="A95" s="75" t="s">
        <v>59</v>
      </c>
      <c r="B95" s="46" t="s">
        <v>97</v>
      </c>
      <c r="C95" s="166" t="s">
        <v>98</v>
      </c>
      <c r="D95" s="1976" t="s">
        <v>60</v>
      </c>
      <c r="E95" s="1976"/>
      <c r="F95" s="76" t="s">
        <v>99</v>
      </c>
    </row>
    <row r="96" spans="1:6" ht="35.25" customHeight="1">
      <c r="A96" s="1255">
        <v>44852</v>
      </c>
      <c r="B96" s="1256" t="s">
        <v>1728</v>
      </c>
      <c r="C96" s="1257">
        <v>1305.9100000000001</v>
      </c>
      <c r="D96" s="1962" t="s">
        <v>1727</v>
      </c>
      <c r="E96" s="1963"/>
      <c r="F96" s="1258" t="s">
        <v>2401</v>
      </c>
    </row>
    <row r="97" spans="1:6" ht="25.5">
      <c r="A97" s="1255">
        <v>44851</v>
      </c>
      <c r="B97" s="1256" t="s">
        <v>2106</v>
      </c>
      <c r="C97" s="1257">
        <v>3705</v>
      </c>
      <c r="D97" s="1962" t="s">
        <v>2107</v>
      </c>
      <c r="E97" s="1963"/>
      <c r="F97" s="1458" t="s">
        <v>2240</v>
      </c>
    </row>
    <row r="98" spans="1:6">
      <c r="A98" s="1255">
        <v>44855</v>
      </c>
      <c r="B98" s="1259" t="s">
        <v>2119</v>
      </c>
      <c r="C98" s="1257">
        <v>1760</v>
      </c>
      <c r="D98" s="1962" t="s">
        <v>2120</v>
      </c>
      <c r="E98" s="1963"/>
      <c r="F98" s="1258" t="s">
        <v>2241</v>
      </c>
    </row>
    <row r="99" spans="1:6" ht="15.75" thickBot="1">
      <c r="A99" s="63"/>
      <c r="B99" s="176" t="s">
        <v>61</v>
      </c>
      <c r="C99" s="64">
        <f>MEDIAN(C96:C98)</f>
        <v>1760</v>
      </c>
      <c r="D99" s="1978"/>
      <c r="E99" s="1979"/>
      <c r="F99" s="65"/>
    </row>
    <row r="100" spans="1:6" ht="15.75" thickBot="1">
      <c r="A100" s="170"/>
      <c r="B100" s="1223"/>
      <c r="C100" s="460"/>
      <c r="D100" s="95"/>
      <c r="E100" s="95"/>
      <c r="F100" s="170"/>
    </row>
    <row r="101" spans="1:6" ht="38.25">
      <c r="A101" s="230" t="s">
        <v>558</v>
      </c>
      <c r="B101" s="285" t="s">
        <v>1484</v>
      </c>
      <c r="C101" s="71" t="s">
        <v>55</v>
      </c>
      <c r="D101" s="72"/>
      <c r="E101" s="72"/>
      <c r="F101" s="209"/>
    </row>
    <row r="102" spans="1:6">
      <c r="A102" s="1957" t="s">
        <v>440</v>
      </c>
      <c r="B102" s="1958"/>
      <c r="C102" s="1958"/>
      <c r="D102" s="1958"/>
      <c r="E102" s="1958"/>
      <c r="F102" s="1959"/>
    </row>
    <row r="103" spans="1:6" ht="30">
      <c r="A103" s="936"/>
      <c r="B103" s="946" t="s">
        <v>56</v>
      </c>
      <c r="C103" s="36" t="s">
        <v>49</v>
      </c>
      <c r="D103" s="37" t="s">
        <v>50</v>
      </c>
      <c r="E103" s="135" t="s">
        <v>62</v>
      </c>
      <c r="F103" s="937" t="s">
        <v>52</v>
      </c>
    </row>
    <row r="104" spans="1:6" ht="25.5">
      <c r="A104" s="206">
        <v>88267</v>
      </c>
      <c r="B104" s="98" t="s">
        <v>102</v>
      </c>
      <c r="C104" s="41" t="s">
        <v>57</v>
      </c>
      <c r="D104" s="113">
        <v>0.94850000000000001</v>
      </c>
      <c r="E104" s="1287">
        <v>24.64</v>
      </c>
      <c r="F104" s="987">
        <f>TRUNC((D104*E104),2)</f>
        <v>23.37</v>
      </c>
    </row>
    <row r="105" spans="1:6">
      <c r="A105" s="940">
        <v>88316</v>
      </c>
      <c r="B105" s="215" t="s">
        <v>66</v>
      </c>
      <c r="C105" s="41" t="s">
        <v>57</v>
      </c>
      <c r="D105" s="113">
        <v>0.29880000000000001</v>
      </c>
      <c r="E105" s="1257">
        <v>19.45</v>
      </c>
      <c r="F105" s="987">
        <f>TRUNC((D105*E105),2)</f>
        <v>5.81</v>
      </c>
    </row>
    <row r="106" spans="1:6">
      <c r="A106" s="969"/>
      <c r="B106" s="941"/>
      <c r="C106" s="10" t="s">
        <v>42</v>
      </c>
      <c r="D106" s="42" t="s">
        <v>42</v>
      </c>
      <c r="E106" s="1260" t="s">
        <v>58</v>
      </c>
      <c r="F106" s="942">
        <f>SUM(F104:F105)</f>
        <v>29.18</v>
      </c>
    </row>
    <row r="107" spans="1:6" ht="30">
      <c r="A107" s="969"/>
      <c r="B107" s="946" t="s">
        <v>95</v>
      </c>
      <c r="C107" s="36" t="s">
        <v>49</v>
      </c>
      <c r="D107" s="37" t="s">
        <v>50</v>
      </c>
      <c r="E107" s="135" t="s">
        <v>62</v>
      </c>
      <c r="F107" s="937" t="s">
        <v>52</v>
      </c>
    </row>
    <row r="108" spans="1:6" ht="25.5">
      <c r="A108" s="192" t="s">
        <v>65</v>
      </c>
      <c r="B108" s="98" t="s">
        <v>439</v>
      </c>
      <c r="C108" s="41" t="s">
        <v>55</v>
      </c>
      <c r="D108" s="207">
        <v>1</v>
      </c>
      <c r="E108" s="111">
        <f>C117</f>
        <v>269.89999999999998</v>
      </c>
      <c r="F108" s="987">
        <f>TRUNC((D108*E108),2)</f>
        <v>269.89999999999998</v>
      </c>
    </row>
    <row r="109" spans="1:6" ht="38.25">
      <c r="A109" s="210">
        <v>4351</v>
      </c>
      <c r="B109" s="98" t="s">
        <v>438</v>
      </c>
      <c r="C109" s="41" t="s">
        <v>55</v>
      </c>
      <c r="D109" s="207">
        <v>6</v>
      </c>
      <c r="E109" s="1287">
        <v>18.559999999999999</v>
      </c>
      <c r="F109" s="987">
        <f>TRUNC((D109*E109),2)</f>
        <v>111.36</v>
      </c>
    </row>
    <row r="110" spans="1:6">
      <c r="A110" s="61"/>
      <c r="B110" s="86"/>
      <c r="C110" s="66"/>
      <c r="D110" s="87"/>
      <c r="E110" s="1260" t="s">
        <v>58</v>
      </c>
      <c r="F110" s="216">
        <f>SUM(F108:F109)</f>
        <v>381.26</v>
      </c>
    </row>
    <row r="111" spans="1:6" ht="15.75" thickBot="1">
      <c r="A111" s="982"/>
      <c r="B111" s="2003" t="s">
        <v>53</v>
      </c>
      <c r="C111" s="2004"/>
      <c r="D111" s="2004"/>
      <c r="E111" s="2004"/>
      <c r="F111" s="988">
        <f>F106+F110</f>
        <v>410.44</v>
      </c>
    </row>
    <row r="112" spans="1:6">
      <c r="A112" s="89"/>
      <c r="B112" s="1983" t="s">
        <v>96</v>
      </c>
      <c r="C112" s="1984"/>
      <c r="D112" s="1984"/>
      <c r="E112" s="1985"/>
      <c r="F112" s="90"/>
    </row>
    <row r="113" spans="1:7" ht="25.5">
      <c r="A113" s="75" t="s">
        <v>59</v>
      </c>
      <c r="B113" s="46" t="s">
        <v>97</v>
      </c>
      <c r="C113" s="166" t="s">
        <v>98</v>
      </c>
      <c r="D113" s="1976" t="s">
        <v>60</v>
      </c>
      <c r="E113" s="1976"/>
      <c r="F113" s="76" t="s">
        <v>99</v>
      </c>
    </row>
    <row r="114" spans="1:7" ht="42" customHeight="1">
      <c r="A114" s="1255">
        <v>44803</v>
      </c>
      <c r="B114" s="1256" t="s">
        <v>2242</v>
      </c>
      <c r="C114" s="1257">
        <v>136</v>
      </c>
      <c r="D114" s="1962" t="s">
        <v>2243</v>
      </c>
      <c r="E114" s="1963"/>
      <c r="F114" s="1258" t="s">
        <v>2244</v>
      </c>
    </row>
    <row r="115" spans="1:7" ht="31.5" customHeight="1">
      <c r="A115" s="1255">
        <v>44803</v>
      </c>
      <c r="B115" s="1256" t="s">
        <v>2245</v>
      </c>
      <c r="C115" s="1257">
        <v>269.89999999999998</v>
      </c>
      <c r="D115" s="1962" t="s">
        <v>2246</v>
      </c>
      <c r="E115" s="1963"/>
      <c r="F115" s="1258" t="s">
        <v>2402</v>
      </c>
    </row>
    <row r="116" spans="1:7" ht="29.25" customHeight="1">
      <c r="A116" s="1255">
        <v>44851</v>
      </c>
      <c r="B116" s="1259" t="s">
        <v>2247</v>
      </c>
      <c r="C116" s="1257">
        <v>276.99</v>
      </c>
      <c r="D116" s="1962" t="s">
        <v>2248</v>
      </c>
      <c r="E116" s="1963"/>
      <c r="F116" s="1258" t="s">
        <v>2403</v>
      </c>
    </row>
    <row r="117" spans="1:7" ht="15.75" thickBot="1">
      <c r="A117" s="63"/>
      <c r="B117" s="176" t="s">
        <v>61</v>
      </c>
      <c r="C117" s="64">
        <f>MEDIAN(C114:C116)</f>
        <v>269.89999999999998</v>
      </c>
      <c r="D117" s="1978"/>
      <c r="E117" s="1979"/>
      <c r="F117" s="65"/>
    </row>
    <row r="118" spans="1:7" ht="15.75" thickBot="1">
      <c r="A118" s="95"/>
      <c r="B118" s="95"/>
      <c r="C118" s="95"/>
      <c r="D118" s="95"/>
      <c r="E118" s="95"/>
      <c r="F118" s="95"/>
    </row>
    <row r="119" spans="1:7" ht="25.5">
      <c r="A119" s="230" t="s">
        <v>157</v>
      </c>
      <c r="B119" s="227" t="s">
        <v>1442</v>
      </c>
      <c r="C119" s="236" t="s">
        <v>55</v>
      </c>
      <c r="D119" s="1261"/>
      <c r="E119" s="1262"/>
      <c r="F119" s="1263"/>
    </row>
    <row r="120" spans="1:7">
      <c r="A120" s="2000" t="s">
        <v>1564</v>
      </c>
      <c r="B120" s="2001"/>
      <c r="C120" s="2001"/>
      <c r="D120" s="2001"/>
      <c r="E120" s="2001"/>
      <c r="F120" s="2002"/>
    </row>
    <row r="121" spans="1:7" ht="30">
      <c r="A121" s="34"/>
      <c r="B121" s="35" t="s">
        <v>56</v>
      </c>
      <c r="C121" s="36" t="s">
        <v>49</v>
      </c>
      <c r="D121" s="37" t="s">
        <v>50</v>
      </c>
      <c r="E121" s="46" t="s">
        <v>62</v>
      </c>
      <c r="F121" s="38" t="s">
        <v>52</v>
      </c>
    </row>
    <row r="122" spans="1:7">
      <c r="A122" s="206"/>
      <c r="B122" s="43"/>
      <c r="C122" s="41"/>
      <c r="D122" s="114"/>
      <c r="E122" s="96"/>
      <c r="F122" s="112"/>
    </row>
    <row r="123" spans="1:7">
      <c r="A123" s="206"/>
      <c r="B123" s="40"/>
      <c r="C123" s="41" t="s">
        <v>42</v>
      </c>
      <c r="D123" s="42" t="s">
        <v>42</v>
      </c>
      <c r="E123" s="167" t="s">
        <v>58</v>
      </c>
      <c r="F123" s="38">
        <f>SUM(F122:F122)</f>
        <v>0</v>
      </c>
    </row>
    <row r="124" spans="1:7" ht="30">
      <c r="A124" s="206"/>
      <c r="B124" s="986" t="s">
        <v>95</v>
      </c>
      <c r="C124" s="36" t="s">
        <v>49</v>
      </c>
      <c r="D124" s="37" t="s">
        <v>50</v>
      </c>
      <c r="E124" s="46" t="s">
        <v>62</v>
      </c>
      <c r="F124" s="38" t="s">
        <v>52</v>
      </c>
    </row>
    <row r="125" spans="1:7" ht="25.5">
      <c r="A125" s="1232" t="s">
        <v>65</v>
      </c>
      <c r="B125" s="1233" t="s">
        <v>1645</v>
      </c>
      <c r="C125" s="1005" t="s">
        <v>55</v>
      </c>
      <c r="D125" s="1023">
        <v>1</v>
      </c>
      <c r="E125" s="1269">
        <f>C134</f>
        <v>1820</v>
      </c>
      <c r="F125" s="987">
        <f>TRUNC((D125*E125),2)</f>
        <v>1820</v>
      </c>
    </row>
    <row r="126" spans="1:7" ht="25.5">
      <c r="A126" s="279" t="s">
        <v>558</v>
      </c>
      <c r="B126" s="98" t="s">
        <v>559</v>
      </c>
      <c r="C126" s="41" t="s">
        <v>55</v>
      </c>
      <c r="D126" s="114">
        <v>1</v>
      </c>
      <c r="E126" s="96">
        <f>F111</f>
        <v>410.44</v>
      </c>
      <c r="F126" s="1234">
        <f>TRUNC((D126*E126),2)</f>
        <v>410.44</v>
      </c>
      <c r="G126" s="1270"/>
    </row>
    <row r="127" spans="1:7">
      <c r="A127" s="287"/>
      <c r="B127" s="86"/>
      <c r="C127" s="66"/>
      <c r="D127" s="87"/>
      <c r="E127" s="167" t="s">
        <v>58</v>
      </c>
      <c r="F127" s="30">
        <f>SUM(F125:F126)</f>
        <v>2230.44</v>
      </c>
    </row>
    <row r="128" spans="1:7" ht="15.75" thickBot="1">
      <c r="A128" s="982"/>
      <c r="B128" s="1990" t="s">
        <v>53</v>
      </c>
      <c r="C128" s="1990"/>
      <c r="D128" s="1990"/>
      <c r="E128" s="1990"/>
      <c r="F128" s="988">
        <f>F123+F127</f>
        <v>2230.44</v>
      </c>
    </row>
    <row r="129" spans="1:11">
      <c r="A129" s="89"/>
      <c r="B129" s="1983" t="s">
        <v>96</v>
      </c>
      <c r="C129" s="1984"/>
      <c r="D129" s="1984"/>
      <c r="E129" s="1985"/>
      <c r="F129" s="90"/>
    </row>
    <row r="130" spans="1:11" ht="25.5">
      <c r="A130" s="75" t="s">
        <v>59</v>
      </c>
      <c r="B130" s="46" t="s">
        <v>97</v>
      </c>
      <c r="C130" s="166" t="s">
        <v>98</v>
      </c>
      <c r="D130" s="1976" t="s">
        <v>60</v>
      </c>
      <c r="E130" s="1976"/>
      <c r="F130" s="76" t="s">
        <v>99</v>
      </c>
    </row>
    <row r="131" spans="1:11" ht="41.25" customHeight="1">
      <c r="A131" s="1255">
        <v>44855</v>
      </c>
      <c r="B131" s="1256" t="s">
        <v>1728</v>
      </c>
      <c r="C131" s="1257">
        <f>G131</f>
        <v>1418.78</v>
      </c>
      <c r="D131" s="1962" t="s">
        <v>1727</v>
      </c>
      <c r="E131" s="1963"/>
      <c r="F131" s="1258" t="s">
        <v>2401</v>
      </c>
      <c r="G131" s="1264">
        <f>427.98+262.35+126+111.4+36.28+331.29+90.73+65.5/2</f>
        <v>1418.78</v>
      </c>
      <c r="I131" s="1029" t="s">
        <v>2249</v>
      </c>
      <c r="J131" s="1265" t="s">
        <v>2250</v>
      </c>
      <c r="K131" s="1266"/>
    </row>
    <row r="132" spans="1:11" ht="28.5" customHeight="1">
      <c r="A132" s="1255">
        <v>44852</v>
      </c>
      <c r="B132" s="1256" t="s">
        <v>2106</v>
      </c>
      <c r="C132" s="1257">
        <f>G132</f>
        <v>1820</v>
      </c>
      <c r="D132" s="1962" t="s">
        <v>2107</v>
      </c>
      <c r="E132" s="1963"/>
      <c r="F132" s="1458" t="s">
        <v>2406</v>
      </c>
      <c r="G132" s="1267">
        <f>480+250+80+150+165+35+350+60+250</f>
        <v>1820</v>
      </c>
      <c r="I132" s="1268" t="s">
        <v>2251</v>
      </c>
    </row>
    <row r="133" spans="1:11">
      <c r="A133" s="1255">
        <v>44855</v>
      </c>
      <c r="B133" s="1259" t="s">
        <v>2119</v>
      </c>
      <c r="C133" s="1257">
        <v>2200</v>
      </c>
      <c r="D133" s="1962" t="s">
        <v>2120</v>
      </c>
      <c r="E133" s="1963"/>
      <c r="F133" s="1258" t="s">
        <v>2241</v>
      </c>
    </row>
    <row r="134" spans="1:11" ht="15.75" thickBot="1">
      <c r="A134" s="63"/>
      <c r="B134" s="176" t="s">
        <v>61</v>
      </c>
      <c r="C134" s="64">
        <f>MEDIAN(C131:C133)</f>
        <v>1820</v>
      </c>
      <c r="D134" s="1978"/>
      <c r="E134" s="1979"/>
      <c r="F134" s="65"/>
    </row>
    <row r="135" spans="1:11" ht="15.75" thickBot="1">
      <c r="A135" s="229"/>
      <c r="B135" s="288"/>
      <c r="C135" s="289"/>
      <c r="D135" s="290"/>
      <c r="E135" s="290"/>
      <c r="F135" s="291"/>
    </row>
    <row r="136" spans="1:11" ht="15.75" thickBot="1">
      <c r="A136" s="70" t="s">
        <v>560</v>
      </c>
      <c r="B136" s="1000" t="s">
        <v>1444</v>
      </c>
      <c r="C136" s="83" t="s">
        <v>46</v>
      </c>
      <c r="D136" s="1001"/>
      <c r="E136" s="1002"/>
      <c r="F136" s="1003"/>
    </row>
    <row r="137" spans="1:11">
      <c r="A137" s="1997" t="s">
        <v>1735</v>
      </c>
      <c r="B137" s="1998"/>
      <c r="C137" s="1998"/>
      <c r="D137" s="1998"/>
      <c r="E137" s="1998"/>
      <c r="F137" s="1999"/>
    </row>
    <row r="138" spans="1:11" ht="30">
      <c r="A138" s="34"/>
      <c r="B138" s="35" t="s">
        <v>56</v>
      </c>
      <c r="C138" s="36" t="s">
        <v>49</v>
      </c>
      <c r="D138" s="37" t="s">
        <v>50</v>
      </c>
      <c r="E138" s="46" t="s">
        <v>62</v>
      </c>
      <c r="F138" s="38" t="s">
        <v>52</v>
      </c>
    </row>
    <row r="139" spans="1:11">
      <c r="A139" s="206">
        <v>88315</v>
      </c>
      <c r="B139" s="98" t="s">
        <v>1373</v>
      </c>
      <c r="C139" s="41" t="s">
        <v>57</v>
      </c>
      <c r="D139" s="113">
        <v>0.97740000000000005</v>
      </c>
      <c r="E139" s="1257">
        <v>24.44</v>
      </c>
      <c r="F139" s="987">
        <f>TRUNC((D139*E139),2)</f>
        <v>23.88</v>
      </c>
    </row>
    <row r="140" spans="1:11">
      <c r="A140" s="206">
        <v>88316</v>
      </c>
      <c r="B140" s="98" t="s">
        <v>66</v>
      </c>
      <c r="C140" s="41" t="s">
        <v>57</v>
      </c>
      <c r="D140" s="113">
        <v>0.97740000000000005</v>
      </c>
      <c r="E140" s="1257">
        <v>19.45</v>
      </c>
      <c r="F140" s="987">
        <f>TRUNC((D140*E140),2)</f>
        <v>19.010000000000002</v>
      </c>
    </row>
    <row r="141" spans="1:11">
      <c r="A141" s="206"/>
      <c r="B141" s="40"/>
      <c r="C141" s="41" t="s">
        <v>42</v>
      </c>
      <c r="D141" s="42" t="s">
        <v>42</v>
      </c>
      <c r="E141" s="167" t="s">
        <v>58</v>
      </c>
      <c r="F141" s="989">
        <f>SUM(F139:F140)</f>
        <v>42.89</v>
      </c>
    </row>
    <row r="142" spans="1:11" ht="30">
      <c r="A142" s="206"/>
      <c r="B142" s="986" t="s">
        <v>95</v>
      </c>
      <c r="C142" s="36" t="s">
        <v>49</v>
      </c>
      <c r="D142" s="37" t="s">
        <v>50</v>
      </c>
      <c r="E142" s="46" t="s">
        <v>62</v>
      </c>
      <c r="F142" s="38" t="s">
        <v>52</v>
      </c>
    </row>
    <row r="143" spans="1:11" ht="25.5">
      <c r="A143" s="279" t="s">
        <v>65</v>
      </c>
      <c r="B143" s="286" t="s">
        <v>562</v>
      </c>
      <c r="C143" s="189" t="s">
        <v>46</v>
      </c>
      <c r="D143" s="114">
        <v>1.02</v>
      </c>
      <c r="E143" s="111">
        <v>1044.33</v>
      </c>
      <c r="F143" s="987">
        <f>TRUNC((D143*E143),2)</f>
        <v>1065.21</v>
      </c>
    </row>
    <row r="144" spans="1:11" ht="38.25">
      <c r="A144" s="1132">
        <v>94962</v>
      </c>
      <c r="B144" s="98" t="s">
        <v>1736</v>
      </c>
      <c r="C144" s="189" t="s">
        <v>47</v>
      </c>
      <c r="D144" s="113">
        <v>4.4999999999999997E-3</v>
      </c>
      <c r="E144" s="1287">
        <v>438.71</v>
      </c>
      <c r="F144" s="987">
        <f>TRUNC((D144*E144),2)</f>
        <v>1.97</v>
      </c>
    </row>
    <row r="145" spans="1:8">
      <c r="A145" s="287"/>
      <c r="B145" s="86"/>
      <c r="C145" s="66"/>
      <c r="D145" s="87"/>
      <c r="E145" s="167" t="s">
        <v>58</v>
      </c>
      <c r="F145" s="38">
        <f>SUM(F143:F144)</f>
        <v>1067.18</v>
      </c>
    </row>
    <row r="146" spans="1:8" ht="15.75" thickBot="1">
      <c r="A146" s="982"/>
      <c r="B146" s="1990" t="s">
        <v>53</v>
      </c>
      <c r="C146" s="1990"/>
      <c r="D146" s="1990"/>
      <c r="E146" s="1990"/>
      <c r="F146" s="988">
        <f>F141+F145</f>
        <v>1110.0700000000002</v>
      </c>
    </row>
    <row r="147" spans="1:8" ht="31.5" customHeight="1" thickBot="1">
      <c r="A147" s="998"/>
      <c r="B147" s="1222" t="s">
        <v>2233</v>
      </c>
      <c r="C147" s="1995" t="s">
        <v>2255</v>
      </c>
      <c r="D147" s="1996"/>
      <c r="E147" s="1996"/>
      <c r="F147" s="1004" t="s">
        <v>2254</v>
      </c>
      <c r="H147" s="630" t="s">
        <v>2113</v>
      </c>
    </row>
    <row r="148" spans="1:8">
      <c r="A148" s="89"/>
      <c r="B148" s="1983" t="s">
        <v>96</v>
      </c>
      <c r="C148" s="1984"/>
      <c r="D148" s="1984"/>
      <c r="E148" s="1985"/>
      <c r="F148" s="90"/>
    </row>
    <row r="149" spans="1:8" ht="25.5">
      <c r="A149" s="75" t="s">
        <v>59</v>
      </c>
      <c r="B149" s="46" t="s">
        <v>97</v>
      </c>
      <c r="C149" s="166" t="s">
        <v>98</v>
      </c>
      <c r="D149" s="1976" t="s">
        <v>60</v>
      </c>
      <c r="E149" s="1976"/>
      <c r="F149" s="76" t="s">
        <v>99</v>
      </c>
    </row>
    <row r="150" spans="1:8" ht="25.5">
      <c r="A150" s="1255">
        <v>44855</v>
      </c>
      <c r="B150" s="1256" t="s">
        <v>2108</v>
      </c>
      <c r="C150" s="1257">
        <v>5300</v>
      </c>
      <c r="D150" s="1962" t="s">
        <v>2112</v>
      </c>
      <c r="E150" s="1963"/>
      <c r="F150" s="1258" t="s">
        <v>2407</v>
      </c>
    </row>
    <row r="151" spans="1:8">
      <c r="A151" s="1255">
        <v>44841</v>
      </c>
      <c r="B151" s="1256" t="s">
        <v>2252</v>
      </c>
      <c r="C151" s="1257">
        <v>6800</v>
      </c>
      <c r="D151" s="1962" t="s">
        <v>2253</v>
      </c>
      <c r="E151" s="1963"/>
      <c r="F151" s="1258" t="s">
        <v>2408</v>
      </c>
      <c r="H151" s="630"/>
    </row>
    <row r="152" spans="1:8" ht="38.25">
      <c r="A152" s="1255">
        <v>44852</v>
      </c>
      <c r="B152" s="1259" t="s">
        <v>2116</v>
      </c>
      <c r="C152" s="1257">
        <v>2688</v>
      </c>
      <c r="D152" s="1962" t="s">
        <v>2117</v>
      </c>
      <c r="E152" s="1963"/>
      <c r="F152" s="1271" t="s">
        <v>2409</v>
      </c>
    </row>
    <row r="153" spans="1:8" ht="15.75" thickBot="1">
      <c r="A153" s="63"/>
      <c r="B153" s="176" t="s">
        <v>61</v>
      </c>
      <c r="C153" s="64">
        <f>MEDIAN(C150:C152)</f>
        <v>5300</v>
      </c>
      <c r="D153" s="1978"/>
      <c r="E153" s="1979"/>
      <c r="F153" s="65"/>
    </row>
    <row r="154" spans="1:8" ht="15.75" thickBot="1">
      <c r="A154" s="292"/>
      <c r="B154" s="293"/>
      <c r="C154" s="294"/>
      <c r="D154" s="295"/>
      <c r="E154" s="296"/>
      <c r="F154" s="295"/>
    </row>
    <row r="155" spans="1:8" ht="26.25" thickBot="1">
      <c r="A155" s="999" t="s">
        <v>563</v>
      </c>
      <c r="B155" s="227" t="s">
        <v>2110</v>
      </c>
      <c r="C155" s="71" t="s">
        <v>55</v>
      </c>
      <c r="D155" s="72"/>
      <c r="E155" s="73"/>
      <c r="F155" s="74"/>
    </row>
    <row r="156" spans="1:8" ht="15.75" thickBot="1">
      <c r="A156" s="1954" t="s">
        <v>561</v>
      </c>
      <c r="B156" s="1955"/>
      <c r="C156" s="1955"/>
      <c r="D156" s="1955"/>
      <c r="E156" s="1955"/>
      <c r="F156" s="1956"/>
    </row>
    <row r="157" spans="1:8" ht="30">
      <c r="A157" s="1235"/>
      <c r="B157" s="1024" t="s">
        <v>56</v>
      </c>
      <c r="C157" s="1019" t="s">
        <v>49</v>
      </c>
      <c r="D157" s="1020" t="s">
        <v>50</v>
      </c>
      <c r="E157" s="1021" t="s">
        <v>62</v>
      </c>
      <c r="F157" s="1025" t="s">
        <v>52</v>
      </c>
    </row>
    <row r="158" spans="1:8">
      <c r="A158" s="206"/>
      <c r="B158" s="947"/>
      <c r="C158" s="41"/>
      <c r="D158" s="114"/>
      <c r="E158" s="96"/>
      <c r="F158" s="112"/>
    </row>
    <row r="159" spans="1:8">
      <c r="A159" s="206"/>
      <c r="B159" s="40"/>
      <c r="C159" s="41" t="s">
        <v>42</v>
      </c>
      <c r="D159" s="42" t="s">
        <v>42</v>
      </c>
      <c r="E159" s="167" t="s">
        <v>58</v>
      </c>
      <c r="F159" s="989">
        <f>SUM(F158:F158)</f>
        <v>0</v>
      </c>
    </row>
    <row r="160" spans="1:8" ht="30">
      <c r="A160" s="206"/>
      <c r="B160" s="986" t="s">
        <v>95</v>
      </c>
      <c r="C160" s="36" t="s">
        <v>49</v>
      </c>
      <c r="D160" s="37" t="s">
        <v>50</v>
      </c>
      <c r="E160" s="46" t="s">
        <v>62</v>
      </c>
      <c r="F160" s="38" t="s">
        <v>52</v>
      </c>
    </row>
    <row r="161" spans="1:6" ht="25.5">
      <c r="A161" s="279" t="s">
        <v>65</v>
      </c>
      <c r="B161" s="286" t="s">
        <v>2111</v>
      </c>
      <c r="C161" s="41" t="s">
        <v>55</v>
      </c>
      <c r="D161" s="114">
        <v>1</v>
      </c>
      <c r="E161" s="111">
        <f>C169</f>
        <v>3594</v>
      </c>
      <c r="F161" s="987">
        <f>TRUNC((D161*E161),2)</f>
        <v>3594</v>
      </c>
    </row>
    <row r="162" spans="1:6">
      <c r="A162" s="287"/>
      <c r="B162" s="86"/>
      <c r="C162" s="66"/>
      <c r="D162" s="87"/>
      <c r="E162" s="167" t="s">
        <v>58</v>
      </c>
      <c r="F162" s="38">
        <f>SUM(F161:F161)</f>
        <v>3594</v>
      </c>
    </row>
    <row r="163" spans="1:6" ht="15.75" thickBot="1">
      <c r="A163" s="982"/>
      <c r="B163" s="1990" t="s">
        <v>53</v>
      </c>
      <c r="C163" s="1990"/>
      <c r="D163" s="1990"/>
      <c r="E163" s="1990"/>
      <c r="F163" s="988">
        <f>F159+F162</f>
        <v>3594</v>
      </c>
    </row>
    <row r="164" spans="1:6">
      <c r="A164" s="89"/>
      <c r="B164" s="1983" t="s">
        <v>96</v>
      </c>
      <c r="C164" s="1984"/>
      <c r="D164" s="1984"/>
      <c r="E164" s="1985"/>
      <c r="F164" s="90"/>
    </row>
    <row r="165" spans="1:6" ht="25.5">
      <c r="A165" s="75" t="s">
        <v>59</v>
      </c>
      <c r="B165" s="46" t="s">
        <v>97</v>
      </c>
      <c r="C165" s="166" t="s">
        <v>98</v>
      </c>
      <c r="D165" s="1976" t="s">
        <v>60</v>
      </c>
      <c r="E165" s="1976"/>
      <c r="F165" s="76" t="s">
        <v>99</v>
      </c>
    </row>
    <row r="166" spans="1:6" ht="25.5">
      <c r="A166" s="1255">
        <v>44855</v>
      </c>
      <c r="B166" s="1256" t="s">
        <v>2108</v>
      </c>
      <c r="C166" s="1272">
        <v>2900</v>
      </c>
      <c r="D166" s="1962" t="s">
        <v>2112</v>
      </c>
      <c r="E166" s="1963"/>
      <c r="F166" s="1258" t="s">
        <v>2407</v>
      </c>
    </row>
    <row r="167" spans="1:6">
      <c r="A167" s="1255">
        <v>44841</v>
      </c>
      <c r="B167" s="1256" t="s">
        <v>2252</v>
      </c>
      <c r="C167" s="1257">
        <v>9700</v>
      </c>
      <c r="D167" s="1962" t="s">
        <v>2253</v>
      </c>
      <c r="E167" s="1963"/>
      <c r="F167" s="1258" t="s">
        <v>2408</v>
      </c>
    </row>
    <row r="168" spans="1:6" ht="38.25">
      <c r="A168" s="1255">
        <v>44852</v>
      </c>
      <c r="B168" s="1259" t="s">
        <v>2116</v>
      </c>
      <c r="C168" s="1257">
        <v>3594</v>
      </c>
      <c r="D168" s="1962" t="s">
        <v>2117</v>
      </c>
      <c r="E168" s="1963"/>
      <c r="F168" s="1271" t="s">
        <v>2409</v>
      </c>
    </row>
    <row r="169" spans="1:6" ht="15.75" thickBot="1">
      <c r="A169" s="63"/>
      <c r="B169" s="176" t="s">
        <v>61</v>
      </c>
      <c r="C169" s="64">
        <f>MEDIAN(C166:C168)</f>
        <v>3594</v>
      </c>
      <c r="D169" s="1978"/>
      <c r="E169" s="1979"/>
      <c r="F169" s="65"/>
    </row>
    <row r="170" spans="1:6" ht="15.75" thickBot="1">
      <c r="A170" s="292"/>
      <c r="B170" s="293"/>
      <c r="C170" s="294"/>
      <c r="D170" s="295"/>
      <c r="E170" s="296"/>
      <c r="F170" s="295"/>
    </row>
    <row r="171" spans="1:6" ht="25.5">
      <c r="A171" s="70" t="s">
        <v>104</v>
      </c>
      <c r="B171" s="227" t="s">
        <v>1446</v>
      </c>
      <c r="C171" s="71" t="s">
        <v>55</v>
      </c>
      <c r="D171" s="72"/>
      <c r="E171" s="73"/>
      <c r="F171" s="74"/>
    </row>
    <row r="172" spans="1:6">
      <c r="A172" s="1946" t="s">
        <v>561</v>
      </c>
      <c r="B172" s="1947"/>
      <c r="C172" s="1947"/>
      <c r="D172" s="1947"/>
      <c r="E172" s="1947"/>
      <c r="F172" s="1948"/>
    </row>
    <row r="173" spans="1:6" ht="30">
      <c r="A173" s="34"/>
      <c r="B173" s="35" t="s">
        <v>56</v>
      </c>
      <c r="C173" s="36" t="s">
        <v>49</v>
      </c>
      <c r="D173" s="37" t="s">
        <v>50</v>
      </c>
      <c r="E173" s="46" t="s">
        <v>62</v>
      </c>
      <c r="F173" s="38" t="s">
        <v>52</v>
      </c>
    </row>
    <row r="174" spans="1:6">
      <c r="A174" s="206"/>
      <c r="B174" s="947"/>
      <c r="C174" s="41"/>
      <c r="D174" s="114"/>
      <c r="E174" s="96"/>
      <c r="F174" s="112"/>
    </row>
    <row r="175" spans="1:6">
      <c r="A175" s="206"/>
      <c r="B175" s="40"/>
      <c r="C175" s="41" t="s">
        <v>42</v>
      </c>
      <c r="D175" s="42" t="s">
        <v>42</v>
      </c>
      <c r="E175" s="245" t="s">
        <v>58</v>
      </c>
      <c r="F175" s="1161">
        <f>SUM(F174:F174)</f>
        <v>0</v>
      </c>
    </row>
    <row r="176" spans="1:6" ht="30">
      <c r="A176" s="206"/>
      <c r="B176" s="986" t="s">
        <v>95</v>
      </c>
      <c r="C176" s="36" t="s">
        <v>49</v>
      </c>
      <c r="D176" s="37" t="s">
        <v>50</v>
      </c>
      <c r="E176" s="46" t="s">
        <v>62</v>
      </c>
      <c r="F176" s="38" t="s">
        <v>52</v>
      </c>
    </row>
    <row r="177" spans="1:6" ht="24" customHeight="1">
      <c r="A177" s="279" t="s">
        <v>65</v>
      </c>
      <c r="B177" s="965" t="s">
        <v>2109</v>
      </c>
      <c r="C177" s="41" t="s">
        <v>55</v>
      </c>
      <c r="D177" s="114">
        <v>1</v>
      </c>
      <c r="E177" s="509">
        <f>C186</f>
        <v>7800</v>
      </c>
      <c r="F177" s="1273">
        <f>TRUNC((D177*E177),2)</f>
        <v>7800</v>
      </c>
    </row>
    <row r="178" spans="1:6" ht="38.25">
      <c r="A178" s="279" t="s">
        <v>106</v>
      </c>
      <c r="B178" s="286" t="s">
        <v>1461</v>
      </c>
      <c r="C178" s="41" t="s">
        <v>55</v>
      </c>
      <c r="D178" s="114">
        <v>1</v>
      </c>
      <c r="E178" s="111">
        <v>1014</v>
      </c>
      <c r="F178" s="987">
        <f>TRUNC((D178*E178),2)</f>
        <v>1014</v>
      </c>
    </row>
    <row r="179" spans="1:6">
      <c r="A179" s="287"/>
      <c r="B179" s="86"/>
      <c r="C179" s="66"/>
      <c r="D179" s="87"/>
      <c r="E179" s="245" t="s">
        <v>58</v>
      </c>
      <c r="F179" s="601">
        <f>SUM(F177:F178)</f>
        <v>8814</v>
      </c>
    </row>
    <row r="180" spans="1:6" ht="15.75" thickBot="1">
      <c r="A180" s="982"/>
      <c r="B180" s="1990" t="s">
        <v>53</v>
      </c>
      <c r="C180" s="1990"/>
      <c r="D180" s="1990"/>
      <c r="E180" s="1990"/>
      <c r="F180" s="988">
        <f>F175+F179</f>
        <v>8814</v>
      </c>
    </row>
    <row r="181" spans="1:6">
      <c r="A181" s="89"/>
      <c r="B181" s="1983" t="s">
        <v>96</v>
      </c>
      <c r="C181" s="1984"/>
      <c r="D181" s="1984"/>
      <c r="E181" s="1985"/>
      <c r="F181" s="90"/>
    </row>
    <row r="182" spans="1:6" ht="25.5">
      <c r="A182" s="75" t="s">
        <v>59</v>
      </c>
      <c r="B182" s="46" t="s">
        <v>97</v>
      </c>
      <c r="C182" s="166" t="s">
        <v>98</v>
      </c>
      <c r="D182" s="1976" t="s">
        <v>60</v>
      </c>
      <c r="E182" s="1976"/>
      <c r="F182" s="76" t="s">
        <v>99</v>
      </c>
    </row>
    <row r="183" spans="1:6" ht="25.5">
      <c r="A183" s="1255">
        <v>44855</v>
      </c>
      <c r="B183" s="1256" t="s">
        <v>2108</v>
      </c>
      <c r="C183" s="1257">
        <v>7800</v>
      </c>
      <c r="D183" s="1962" t="s">
        <v>2112</v>
      </c>
      <c r="E183" s="1963"/>
      <c r="F183" s="1258" t="s">
        <v>2407</v>
      </c>
    </row>
    <row r="184" spans="1:6">
      <c r="A184" s="1255">
        <v>44841</v>
      </c>
      <c r="B184" s="1256" t="s">
        <v>2252</v>
      </c>
      <c r="C184" s="1257">
        <v>3200</v>
      </c>
      <c r="D184" s="1962" t="s">
        <v>2253</v>
      </c>
      <c r="E184" s="1963"/>
      <c r="F184" s="1258" t="s">
        <v>2408</v>
      </c>
    </row>
    <row r="185" spans="1:6" ht="38.25">
      <c r="A185" s="1255">
        <v>44852</v>
      </c>
      <c r="B185" s="1259" t="s">
        <v>2116</v>
      </c>
      <c r="C185" s="1257">
        <v>7872</v>
      </c>
      <c r="D185" s="1962" t="s">
        <v>2117</v>
      </c>
      <c r="E185" s="1963"/>
      <c r="F185" s="1271" t="s">
        <v>2409</v>
      </c>
    </row>
    <row r="186" spans="1:6" ht="15.75" thickBot="1">
      <c r="A186" s="63"/>
      <c r="B186" s="176" t="s">
        <v>61</v>
      </c>
      <c r="C186" s="64">
        <f>MEDIAN(C183:C185)</f>
        <v>7800</v>
      </c>
      <c r="D186" s="1978"/>
      <c r="E186" s="1979"/>
      <c r="F186" s="65"/>
    </row>
    <row r="187" spans="1:6" ht="15.75" thickBot="1">
      <c r="A187" s="292"/>
      <c r="B187" s="293"/>
      <c r="C187" s="294"/>
      <c r="D187" s="295"/>
      <c r="E187" s="296"/>
      <c r="F187" s="295"/>
    </row>
    <row r="188" spans="1:6" ht="25.5">
      <c r="A188" s="70" t="s">
        <v>105</v>
      </c>
      <c r="B188" s="227" t="s">
        <v>1464</v>
      </c>
      <c r="C188" s="71" t="s">
        <v>55</v>
      </c>
      <c r="D188" s="72"/>
      <c r="E188" s="73"/>
      <c r="F188" s="74"/>
    </row>
    <row r="189" spans="1:6">
      <c r="A189" s="1946" t="s">
        <v>561</v>
      </c>
      <c r="B189" s="1947"/>
      <c r="C189" s="1947"/>
      <c r="D189" s="1947"/>
      <c r="E189" s="1947"/>
      <c r="F189" s="1948"/>
    </row>
    <row r="190" spans="1:6" ht="30">
      <c r="A190" s="34"/>
      <c r="B190" s="35" t="s">
        <v>56</v>
      </c>
      <c r="C190" s="36" t="s">
        <v>49</v>
      </c>
      <c r="D190" s="37" t="s">
        <v>50</v>
      </c>
      <c r="E190" s="46" t="s">
        <v>62</v>
      </c>
      <c r="F190" s="38" t="s">
        <v>52</v>
      </c>
    </row>
    <row r="191" spans="1:6">
      <c r="A191" s="206"/>
      <c r="B191" s="947"/>
      <c r="C191" s="41"/>
      <c r="D191" s="114"/>
      <c r="E191" s="96"/>
      <c r="F191" s="112"/>
    </row>
    <row r="192" spans="1:6">
      <c r="A192" s="206"/>
      <c r="B192" s="40"/>
      <c r="C192" s="41" t="s">
        <v>42</v>
      </c>
      <c r="D192" s="42" t="s">
        <v>42</v>
      </c>
      <c r="E192" s="167" t="s">
        <v>58</v>
      </c>
      <c r="F192" s="989">
        <f>SUM(F191:F191)</f>
        <v>0</v>
      </c>
    </row>
    <row r="193" spans="1:6" ht="30">
      <c r="A193" s="206"/>
      <c r="B193" s="986" t="s">
        <v>95</v>
      </c>
      <c r="C193" s="36" t="s">
        <v>49</v>
      </c>
      <c r="D193" s="37" t="s">
        <v>50</v>
      </c>
      <c r="E193" s="46" t="s">
        <v>62</v>
      </c>
      <c r="F193" s="38" t="s">
        <v>52</v>
      </c>
    </row>
    <row r="194" spans="1:6" ht="38.25">
      <c r="A194" s="279" t="s">
        <v>65</v>
      </c>
      <c r="B194" s="286" t="s">
        <v>1462</v>
      </c>
      <c r="C194" s="41" t="s">
        <v>55</v>
      </c>
      <c r="D194" s="114">
        <v>1</v>
      </c>
      <c r="E194" s="111">
        <f>C202</f>
        <v>1014</v>
      </c>
      <c r="F194" s="987">
        <f>TRUNC((D194*E194),2)</f>
        <v>1014</v>
      </c>
    </row>
    <row r="195" spans="1:6">
      <c r="A195" s="287"/>
      <c r="B195" s="86"/>
      <c r="C195" s="66"/>
      <c r="D195" s="87"/>
      <c r="E195" s="167" t="s">
        <v>58</v>
      </c>
      <c r="F195" s="38">
        <f>SUM(F194:F194)</f>
        <v>1014</v>
      </c>
    </row>
    <row r="196" spans="1:6" ht="15.75" thickBot="1">
      <c r="A196" s="982"/>
      <c r="B196" s="1990" t="s">
        <v>53</v>
      </c>
      <c r="C196" s="1990"/>
      <c r="D196" s="1990"/>
      <c r="E196" s="1990"/>
      <c r="F196" s="988">
        <f>F192+F195</f>
        <v>1014</v>
      </c>
    </row>
    <row r="197" spans="1:6" ht="15.75" thickBot="1">
      <c r="A197" s="982"/>
      <c r="B197" s="1991" t="s">
        <v>96</v>
      </c>
      <c r="C197" s="1992"/>
      <c r="D197" s="1992"/>
      <c r="E197" s="1993"/>
      <c r="F197" s="988"/>
    </row>
    <row r="198" spans="1:6" ht="25.5">
      <c r="A198" s="1210" t="s">
        <v>59</v>
      </c>
      <c r="B198" s="1021" t="s">
        <v>97</v>
      </c>
      <c r="C198" s="1211" t="s">
        <v>98</v>
      </c>
      <c r="D198" s="1994" t="s">
        <v>60</v>
      </c>
      <c r="E198" s="1994"/>
      <c r="F198" s="1212" t="s">
        <v>99</v>
      </c>
    </row>
    <row r="199" spans="1:6" ht="25.5">
      <c r="A199" s="1255">
        <v>44852</v>
      </c>
      <c r="B199" s="1256" t="s">
        <v>1642</v>
      </c>
      <c r="C199" s="1257">
        <v>945</v>
      </c>
      <c r="D199" s="1962" t="s">
        <v>1641</v>
      </c>
      <c r="E199" s="1963"/>
      <c r="F199" s="1258" t="s">
        <v>2410</v>
      </c>
    </row>
    <row r="200" spans="1:6" ht="25.5">
      <c r="A200" s="1255">
        <v>44864</v>
      </c>
      <c r="B200" s="1256" t="s">
        <v>1643</v>
      </c>
      <c r="C200" s="1257">
        <v>1141.3599999999999</v>
      </c>
      <c r="D200" s="1962" t="s">
        <v>1644</v>
      </c>
      <c r="E200" s="1963"/>
      <c r="F200" s="1258" t="s">
        <v>2411</v>
      </c>
    </row>
    <row r="201" spans="1:6" ht="38.25">
      <c r="A201" s="1255">
        <v>44854</v>
      </c>
      <c r="B201" s="1259" t="s">
        <v>2256</v>
      </c>
      <c r="C201" s="1257">
        <v>1014</v>
      </c>
      <c r="D201" s="1962" t="s">
        <v>2257</v>
      </c>
      <c r="E201" s="1963"/>
      <c r="F201" s="1258" t="s">
        <v>2412</v>
      </c>
    </row>
    <row r="202" spans="1:6" ht="15.75" thickBot="1">
      <c r="A202" s="63"/>
      <c r="B202" s="176" t="s">
        <v>61</v>
      </c>
      <c r="C202" s="64">
        <f>MEDIAN(C199:C201)</f>
        <v>1014</v>
      </c>
      <c r="D202" s="1978"/>
      <c r="E202" s="1979"/>
      <c r="F202" s="65"/>
    </row>
    <row r="203" spans="1:6" ht="15.75" thickBot="1">
      <c r="A203" s="292"/>
      <c r="B203" s="293"/>
      <c r="C203" s="294"/>
      <c r="D203" s="295"/>
      <c r="E203" s="296"/>
      <c r="F203" s="295"/>
    </row>
    <row r="204" spans="1:6" ht="25.5">
      <c r="A204" s="70" t="s">
        <v>106</v>
      </c>
      <c r="B204" s="228" t="s">
        <v>1465</v>
      </c>
      <c r="C204" s="71" t="s">
        <v>55</v>
      </c>
      <c r="D204" s="72"/>
      <c r="E204" s="73"/>
      <c r="F204" s="74"/>
    </row>
    <row r="205" spans="1:6">
      <c r="A205" s="1946" t="s">
        <v>561</v>
      </c>
      <c r="B205" s="1947"/>
      <c r="C205" s="1947"/>
      <c r="D205" s="1947"/>
      <c r="E205" s="1947"/>
      <c r="F205" s="1948"/>
    </row>
    <row r="206" spans="1:6" ht="30">
      <c r="A206" s="34"/>
      <c r="B206" s="35" t="s">
        <v>56</v>
      </c>
      <c r="C206" s="36" t="s">
        <v>49</v>
      </c>
      <c r="D206" s="37" t="s">
        <v>50</v>
      </c>
      <c r="E206" s="46" t="s">
        <v>62</v>
      </c>
      <c r="F206" s="38" t="s">
        <v>52</v>
      </c>
    </row>
    <row r="207" spans="1:6">
      <c r="A207" s="206"/>
      <c r="B207" s="947"/>
      <c r="C207" s="41"/>
      <c r="D207" s="114"/>
      <c r="E207" s="96"/>
      <c r="F207" s="112"/>
    </row>
    <row r="208" spans="1:6">
      <c r="A208" s="206"/>
      <c r="B208" s="40"/>
      <c r="C208" s="41" t="s">
        <v>42</v>
      </c>
      <c r="D208" s="42" t="s">
        <v>42</v>
      </c>
      <c r="E208" s="167" t="s">
        <v>58</v>
      </c>
      <c r="F208" s="989">
        <f>SUM(F207:F207)</f>
        <v>0</v>
      </c>
    </row>
    <row r="209" spans="1:6" ht="30">
      <c r="A209" s="206"/>
      <c r="B209" s="986" t="s">
        <v>95</v>
      </c>
      <c r="C209" s="36" t="s">
        <v>49</v>
      </c>
      <c r="D209" s="37" t="s">
        <v>50</v>
      </c>
      <c r="E209" s="46" t="s">
        <v>62</v>
      </c>
      <c r="F209" s="38" t="s">
        <v>52</v>
      </c>
    </row>
    <row r="210" spans="1:6" ht="25.5">
      <c r="A210" s="279" t="s">
        <v>65</v>
      </c>
      <c r="B210" s="286" t="s">
        <v>1465</v>
      </c>
      <c r="C210" s="41" t="s">
        <v>55</v>
      </c>
      <c r="D210" s="114">
        <v>1</v>
      </c>
      <c r="E210" s="111">
        <f>C218</f>
        <v>3840</v>
      </c>
      <c r="F210" s="987">
        <f>TRUNC((D210*E210),2)</f>
        <v>3840</v>
      </c>
    </row>
    <row r="211" spans="1:6">
      <c r="A211" s="287"/>
      <c r="B211" s="86"/>
      <c r="C211" s="66"/>
      <c r="D211" s="87"/>
      <c r="E211" s="167" t="s">
        <v>58</v>
      </c>
      <c r="F211" s="38">
        <f>SUM(F210:F210)</f>
        <v>3840</v>
      </c>
    </row>
    <row r="212" spans="1:6" ht="15.75" thickBot="1">
      <c r="A212" s="982"/>
      <c r="B212" s="1990" t="s">
        <v>53</v>
      </c>
      <c r="C212" s="1990"/>
      <c r="D212" s="1990"/>
      <c r="E212" s="1990"/>
      <c r="F212" s="988">
        <f>F208+F211</f>
        <v>3840</v>
      </c>
    </row>
    <row r="213" spans="1:6">
      <c r="A213" s="89"/>
      <c r="B213" s="1983" t="s">
        <v>96</v>
      </c>
      <c r="C213" s="1984"/>
      <c r="D213" s="1984"/>
      <c r="E213" s="1985"/>
      <c r="F213" s="90"/>
    </row>
    <row r="214" spans="1:6" ht="25.5">
      <c r="A214" s="75" t="s">
        <v>59</v>
      </c>
      <c r="B214" s="46" t="s">
        <v>97</v>
      </c>
      <c r="C214" s="166" t="s">
        <v>98</v>
      </c>
      <c r="D214" s="1976" t="s">
        <v>60</v>
      </c>
      <c r="E214" s="1976"/>
      <c r="F214" s="76" t="s">
        <v>99</v>
      </c>
    </row>
    <row r="215" spans="1:6" ht="25.5">
      <c r="A215" s="1255">
        <v>44855</v>
      </c>
      <c r="B215" s="1256" t="s">
        <v>2108</v>
      </c>
      <c r="C215" s="1257">
        <v>2000</v>
      </c>
      <c r="D215" s="1962" t="s">
        <v>2112</v>
      </c>
      <c r="E215" s="1963"/>
      <c r="F215" s="1258" t="s">
        <v>2407</v>
      </c>
    </row>
    <row r="216" spans="1:6">
      <c r="A216" s="1255">
        <v>44841</v>
      </c>
      <c r="B216" s="1256" t="s">
        <v>2252</v>
      </c>
      <c r="C216" s="1274">
        <v>4000</v>
      </c>
      <c r="D216" s="1962" t="s">
        <v>2253</v>
      </c>
      <c r="E216" s="1963"/>
      <c r="F216" s="1258" t="s">
        <v>2408</v>
      </c>
    </row>
    <row r="217" spans="1:6" ht="38.25">
      <c r="A217" s="1255">
        <v>44852</v>
      </c>
      <c r="B217" s="1259" t="s">
        <v>2116</v>
      </c>
      <c r="C217" s="1257">
        <v>3840</v>
      </c>
      <c r="D217" s="1962" t="s">
        <v>2117</v>
      </c>
      <c r="E217" s="1963"/>
      <c r="F217" s="1271" t="s">
        <v>2409</v>
      </c>
    </row>
    <row r="218" spans="1:6" ht="15.75" thickBot="1">
      <c r="A218" s="63"/>
      <c r="B218" s="176" t="s">
        <v>61</v>
      </c>
      <c r="C218" s="64">
        <f>MEDIAN(C215:C217)</f>
        <v>3840</v>
      </c>
      <c r="D218" s="1978"/>
      <c r="E218" s="1979"/>
      <c r="F218" s="65"/>
    </row>
    <row r="219" spans="1:6" ht="15.75" thickBot="1">
      <c r="A219" s="461"/>
      <c r="B219" s="1223"/>
      <c r="C219" s="460"/>
      <c r="D219" s="95"/>
      <c r="E219" s="95"/>
      <c r="F219" s="170"/>
    </row>
    <row r="220" spans="1:6" ht="25.5">
      <c r="A220" s="70" t="s">
        <v>2185</v>
      </c>
      <c r="B220" s="228" t="s">
        <v>1471</v>
      </c>
      <c r="C220" s="71" t="s">
        <v>46</v>
      </c>
      <c r="D220" s="72"/>
      <c r="E220" s="73"/>
      <c r="F220" s="124"/>
    </row>
    <row r="221" spans="1:6">
      <c r="A221" s="1946" t="s">
        <v>2228</v>
      </c>
      <c r="B221" s="1947"/>
      <c r="C221" s="1947"/>
      <c r="D221" s="1947"/>
      <c r="E221" s="1947"/>
      <c r="F221" s="1948"/>
    </row>
    <row r="222" spans="1:6" ht="30">
      <c r="A222" s="936"/>
      <c r="B222" s="946" t="s">
        <v>56</v>
      </c>
      <c r="C222" s="36" t="s">
        <v>49</v>
      </c>
      <c r="D222" s="37" t="s">
        <v>50</v>
      </c>
      <c r="E222" s="46" t="s">
        <v>62</v>
      </c>
      <c r="F222" s="937" t="s">
        <v>52</v>
      </c>
    </row>
    <row r="223" spans="1:6">
      <c r="A223" s="938">
        <v>88316</v>
      </c>
      <c r="B223" s="947" t="s">
        <v>66</v>
      </c>
      <c r="C223" s="41" t="s">
        <v>57</v>
      </c>
      <c r="D223" s="111">
        <v>0.75</v>
      </c>
      <c r="E223" s="1257">
        <v>19.45</v>
      </c>
      <c r="F223" s="939">
        <f>TRUNC((D223*E223),2)</f>
        <v>14.58</v>
      </c>
    </row>
    <row r="224" spans="1:6">
      <c r="A224" s="969"/>
      <c r="B224" s="941"/>
      <c r="C224" s="10" t="s">
        <v>42</v>
      </c>
      <c r="D224" s="42" t="s">
        <v>42</v>
      </c>
      <c r="E224" s="167" t="s">
        <v>58</v>
      </c>
      <c r="F224" s="937">
        <f>SUM(F223:F223)</f>
        <v>14.58</v>
      </c>
    </row>
    <row r="225" spans="1:6" ht="30">
      <c r="A225" s="969"/>
      <c r="B225" s="946" t="s">
        <v>95</v>
      </c>
      <c r="C225" s="36" t="s">
        <v>49</v>
      </c>
      <c r="D225" s="37" t="s">
        <v>50</v>
      </c>
      <c r="E225" s="46" t="s">
        <v>62</v>
      </c>
      <c r="F225" s="937" t="s">
        <v>52</v>
      </c>
    </row>
    <row r="226" spans="1:6">
      <c r="A226" s="943"/>
      <c r="B226" s="86"/>
      <c r="C226" s="41"/>
      <c r="D226" s="107"/>
      <c r="E226" s="107"/>
      <c r="F226" s="987">
        <f>TRUNC((D226*E226),2)</f>
        <v>0</v>
      </c>
    </row>
    <row r="227" spans="1:6" ht="15.75" thickBot="1">
      <c r="A227" s="100"/>
      <c r="B227" s="92"/>
      <c r="C227" s="93"/>
      <c r="D227" s="115"/>
      <c r="E227" s="116" t="s">
        <v>58</v>
      </c>
      <c r="F227" s="94">
        <f>SUM(F226:F226)</f>
        <v>0</v>
      </c>
    </row>
    <row r="228" spans="1:6" ht="15.75" thickBot="1">
      <c r="A228" s="84"/>
      <c r="B228" s="1949" t="s">
        <v>53</v>
      </c>
      <c r="C228" s="1949"/>
      <c r="D228" s="1949"/>
      <c r="E228" s="1949"/>
      <c r="F228" s="85">
        <f>F224+F227</f>
        <v>14.58</v>
      </c>
    </row>
    <row r="229" spans="1:6" ht="15.75" thickBot="1">
      <c r="A229" s="461"/>
      <c r="B229" s="1223"/>
      <c r="C229" s="460"/>
      <c r="D229" s="95"/>
      <c r="E229" s="95"/>
      <c r="F229" s="170"/>
    </row>
    <row r="230" spans="1:6" ht="38.25">
      <c r="A230" s="70" t="s">
        <v>107</v>
      </c>
      <c r="B230" s="228" t="s">
        <v>1476</v>
      </c>
      <c r="C230" s="71" t="s">
        <v>54</v>
      </c>
      <c r="D230" s="72"/>
      <c r="E230" s="73"/>
      <c r="F230" s="124"/>
    </row>
    <row r="231" spans="1:6">
      <c r="A231" s="1946" t="s">
        <v>1475</v>
      </c>
      <c r="B231" s="1947"/>
      <c r="C231" s="1947"/>
      <c r="D231" s="1947"/>
      <c r="E231" s="1947"/>
      <c r="F231" s="1948"/>
    </row>
    <row r="232" spans="1:6" ht="30">
      <c r="A232" s="936"/>
      <c r="B232" s="946" t="s">
        <v>56</v>
      </c>
      <c r="C232" s="36" t="s">
        <v>49</v>
      </c>
      <c r="D232" s="37" t="s">
        <v>50</v>
      </c>
      <c r="E232" s="46" t="s">
        <v>62</v>
      </c>
      <c r="F232" s="937" t="s">
        <v>52</v>
      </c>
    </row>
    <row r="233" spans="1:6">
      <c r="A233" s="938">
        <v>88316</v>
      </c>
      <c r="B233" s="947" t="s">
        <v>66</v>
      </c>
      <c r="C233" s="41" t="s">
        <v>57</v>
      </c>
      <c r="D233" s="114">
        <v>3.1E-2</v>
      </c>
      <c r="E233" s="1257">
        <v>19.45</v>
      </c>
      <c r="F233" s="939">
        <f>TRUNC((D233*E233),2)</f>
        <v>0.6</v>
      </c>
    </row>
    <row r="234" spans="1:6" ht="25.5">
      <c r="A234" s="938">
        <v>88256</v>
      </c>
      <c r="B234" s="98" t="s">
        <v>1477</v>
      </c>
      <c r="C234" s="41" t="s">
        <v>57</v>
      </c>
      <c r="D234" s="114">
        <v>8.5000000000000006E-2</v>
      </c>
      <c r="E234" s="1287">
        <v>24.49</v>
      </c>
      <c r="F234" s="939">
        <f>TRUNC((D234*E234),2)</f>
        <v>2.08</v>
      </c>
    </row>
    <row r="235" spans="1:6">
      <c r="A235" s="969"/>
      <c r="B235" s="941"/>
      <c r="C235" s="10" t="s">
        <v>42</v>
      </c>
      <c r="D235" s="42" t="s">
        <v>42</v>
      </c>
      <c r="E235" s="167" t="s">
        <v>58</v>
      </c>
      <c r="F235" s="937">
        <f>SUM(F233:F234)</f>
        <v>2.68</v>
      </c>
    </row>
    <row r="236" spans="1:6" ht="30">
      <c r="A236" s="969"/>
      <c r="B236" s="946" t="s">
        <v>95</v>
      </c>
      <c r="C236" s="36" t="s">
        <v>49</v>
      </c>
      <c r="D236" s="37" t="s">
        <v>50</v>
      </c>
      <c r="E236" s="46" t="s">
        <v>62</v>
      </c>
      <c r="F236" s="937" t="s">
        <v>52</v>
      </c>
    </row>
    <row r="237" spans="1:6">
      <c r="A237" s="969">
        <v>1381</v>
      </c>
      <c r="B237" s="466" t="s">
        <v>1479</v>
      </c>
      <c r="C237" s="270" t="s">
        <v>100</v>
      </c>
      <c r="D237" s="297">
        <v>0.60299999999999998</v>
      </c>
      <c r="E237" s="1289">
        <v>1</v>
      </c>
      <c r="F237" s="939">
        <f>TRUNC((D237*E237),2)</f>
        <v>0.6</v>
      </c>
    </row>
    <row r="238" spans="1:6">
      <c r="A238" s="969">
        <v>34357</v>
      </c>
      <c r="B238" s="466" t="s">
        <v>1478</v>
      </c>
      <c r="C238" s="270" t="s">
        <v>100</v>
      </c>
      <c r="D238" s="297">
        <v>8.4000000000000005E-2</v>
      </c>
      <c r="E238" s="1290">
        <v>5.87</v>
      </c>
      <c r="F238" s="939">
        <f>TRUNC((D238*E238),2)</f>
        <v>0.49</v>
      </c>
    </row>
    <row r="239" spans="1:6" ht="38.25">
      <c r="A239" s="102">
        <v>87261</v>
      </c>
      <c r="B239" s="98" t="s">
        <v>1472</v>
      </c>
      <c r="C239" s="270" t="s">
        <v>46</v>
      </c>
      <c r="D239" s="297">
        <v>0.40279999999999999</v>
      </c>
      <c r="E239" s="1290">
        <v>184.04</v>
      </c>
      <c r="F239" s="939">
        <f>TRUNC((D239*E239),2)</f>
        <v>74.13</v>
      </c>
    </row>
    <row r="240" spans="1:6" ht="15.75" thickBot="1">
      <c r="A240" s="100"/>
      <c r="B240" s="92"/>
      <c r="C240" s="93"/>
      <c r="D240" s="115"/>
      <c r="E240" s="116" t="s">
        <v>58</v>
      </c>
      <c r="F240" s="94">
        <f>SUM(F237:F239)</f>
        <v>75.22</v>
      </c>
    </row>
    <row r="241" spans="1:6" ht="15.75" thickBot="1">
      <c r="A241" s="84"/>
      <c r="B241" s="1949" t="s">
        <v>53</v>
      </c>
      <c r="C241" s="1949"/>
      <c r="D241" s="1949"/>
      <c r="E241" s="1949"/>
      <c r="F241" s="85">
        <f>F235+F240</f>
        <v>77.900000000000006</v>
      </c>
    </row>
    <row r="242" spans="1:6" ht="39" thickBot="1">
      <c r="A242" s="467"/>
      <c r="B242" s="468" t="s">
        <v>1481</v>
      </c>
      <c r="C242" s="468"/>
      <c r="D242" s="1986"/>
      <c r="E242" s="1986"/>
      <c r="F242" s="469"/>
    </row>
    <row r="243" spans="1:6" ht="15.75" thickBot="1">
      <c r="A243" s="229"/>
      <c r="B243" s="288"/>
      <c r="C243" s="289"/>
      <c r="D243" s="290"/>
      <c r="E243" s="465"/>
      <c r="F243" s="208"/>
    </row>
    <row r="244" spans="1:6" ht="25.5">
      <c r="A244" s="70" t="s">
        <v>108</v>
      </c>
      <c r="B244" s="228" t="s">
        <v>435</v>
      </c>
      <c r="C244" s="71" t="s">
        <v>55</v>
      </c>
      <c r="D244" s="72"/>
      <c r="E244" s="72"/>
      <c r="F244" s="209"/>
    </row>
    <row r="245" spans="1:6">
      <c r="A245" s="1987" t="s">
        <v>434</v>
      </c>
      <c r="B245" s="1988"/>
      <c r="C245" s="1988"/>
      <c r="D245" s="1988"/>
      <c r="E245" s="1988"/>
      <c r="F245" s="1989"/>
    </row>
    <row r="246" spans="1:6" ht="30">
      <c r="A246" s="936"/>
      <c r="B246" s="946" t="s">
        <v>56</v>
      </c>
      <c r="C246" s="36" t="s">
        <v>49</v>
      </c>
      <c r="D246" s="37" t="s">
        <v>50</v>
      </c>
      <c r="E246" s="135" t="s">
        <v>62</v>
      </c>
      <c r="F246" s="937" t="s">
        <v>52</v>
      </c>
    </row>
    <row r="247" spans="1:6" ht="25.5">
      <c r="A247" s="206">
        <v>88267</v>
      </c>
      <c r="B247" s="211" t="s">
        <v>102</v>
      </c>
      <c r="C247" s="41" t="s">
        <v>57</v>
      </c>
      <c r="D247" s="113">
        <v>0.94850000000000001</v>
      </c>
      <c r="E247" s="1287">
        <v>24.64</v>
      </c>
      <c r="F247" s="939">
        <f>TRUNC((D247*E247),2)</f>
        <v>23.37</v>
      </c>
    </row>
    <row r="248" spans="1:6">
      <c r="A248" s="940">
        <v>88316</v>
      </c>
      <c r="B248" s="170" t="s">
        <v>66</v>
      </c>
      <c r="C248" s="41" t="s">
        <v>57</v>
      </c>
      <c r="D248" s="113">
        <v>0.29880000000000001</v>
      </c>
      <c r="E248" s="1257">
        <v>19.45</v>
      </c>
      <c r="F248" s="939">
        <f>TRUNC((D248*E248),2)</f>
        <v>5.81</v>
      </c>
    </row>
    <row r="249" spans="1:6">
      <c r="A249" s="969"/>
      <c r="B249" s="941"/>
      <c r="C249" s="10" t="s">
        <v>42</v>
      </c>
      <c r="D249" s="42" t="s">
        <v>42</v>
      </c>
      <c r="E249" s="1007" t="s">
        <v>58</v>
      </c>
      <c r="F249" s="942">
        <f>SUM(F247:F248)</f>
        <v>29.18</v>
      </c>
    </row>
    <row r="250" spans="1:6" ht="30">
      <c r="A250" s="969"/>
      <c r="B250" s="946" t="s">
        <v>95</v>
      </c>
      <c r="C250" s="36" t="s">
        <v>49</v>
      </c>
      <c r="D250" s="37" t="s">
        <v>50</v>
      </c>
      <c r="E250" s="46" t="s">
        <v>62</v>
      </c>
      <c r="F250" s="937" t="s">
        <v>52</v>
      </c>
    </row>
    <row r="251" spans="1:6" ht="25.5">
      <c r="A251" s="206">
        <v>36080</v>
      </c>
      <c r="B251" s="211" t="s">
        <v>433</v>
      </c>
      <c r="C251" s="41" t="s">
        <v>55</v>
      </c>
      <c r="D251" s="207">
        <v>1</v>
      </c>
      <c r="E251" s="1287">
        <v>169</v>
      </c>
      <c r="F251" s="939">
        <f>TRUNC((D251*E251),2)</f>
        <v>169</v>
      </c>
    </row>
    <row r="252" spans="1:6" ht="38.25">
      <c r="A252" s="210">
        <v>4351</v>
      </c>
      <c r="B252" s="211" t="s">
        <v>438</v>
      </c>
      <c r="C252" s="41" t="s">
        <v>55</v>
      </c>
      <c r="D252" s="207">
        <v>6</v>
      </c>
      <c r="E252" s="1287">
        <v>18.559999999999999</v>
      </c>
      <c r="F252" s="939">
        <f>TRUNC((D252*E252),2)</f>
        <v>111.36</v>
      </c>
    </row>
    <row r="253" spans="1:6">
      <c r="A253" s="61"/>
      <c r="B253" s="86"/>
      <c r="C253" s="66"/>
      <c r="D253" s="87"/>
      <c r="E253" s="167" t="s">
        <v>58</v>
      </c>
      <c r="F253" s="216">
        <f>SUM(F251:F252)</f>
        <v>280.36</v>
      </c>
    </row>
    <row r="254" spans="1:6" ht="15.75" thickBot="1">
      <c r="A254" s="982"/>
      <c r="B254" s="1966" t="s">
        <v>53</v>
      </c>
      <c r="C254" s="1967"/>
      <c r="D254" s="1967"/>
      <c r="E254" s="1961"/>
      <c r="F254" s="983">
        <f>F249+F253</f>
        <v>309.54000000000002</v>
      </c>
    </row>
    <row r="255" spans="1:6" ht="15.75" thickBot="1">
      <c r="A255" s="16"/>
      <c r="B255" s="168"/>
      <c r="C255" s="169"/>
      <c r="D255" s="169"/>
      <c r="E255" s="169"/>
      <c r="F255" s="16"/>
    </row>
    <row r="256" spans="1:6" ht="25.5">
      <c r="A256" s="230" t="s">
        <v>109</v>
      </c>
      <c r="B256" s="228" t="s">
        <v>436</v>
      </c>
      <c r="C256" s="71" t="s">
        <v>55</v>
      </c>
      <c r="D256" s="72"/>
      <c r="E256" s="72"/>
      <c r="F256" s="209"/>
    </row>
    <row r="257" spans="1:6">
      <c r="A257" s="1957" t="s">
        <v>437</v>
      </c>
      <c r="B257" s="1958"/>
      <c r="C257" s="1958"/>
      <c r="D257" s="1958"/>
      <c r="E257" s="1958"/>
      <c r="F257" s="1959"/>
    </row>
    <row r="258" spans="1:6" ht="30">
      <c r="A258" s="34"/>
      <c r="B258" s="35" t="s">
        <v>56</v>
      </c>
      <c r="C258" s="36" t="s">
        <v>49</v>
      </c>
      <c r="D258" s="37" t="s">
        <v>50</v>
      </c>
      <c r="E258" s="46" t="s">
        <v>62</v>
      </c>
      <c r="F258" s="38" t="s">
        <v>52</v>
      </c>
    </row>
    <row r="259" spans="1:6" ht="25.5">
      <c r="A259" s="981">
        <v>88267</v>
      </c>
      <c r="B259" s="492" t="s">
        <v>102</v>
      </c>
      <c r="C259" s="967" t="s">
        <v>57</v>
      </c>
      <c r="D259" s="1236">
        <v>0.94850000000000001</v>
      </c>
      <c r="E259" s="1287">
        <v>24.64</v>
      </c>
      <c r="F259" s="968">
        <f>TRUNC((D259*E259),2)</f>
        <v>23.37</v>
      </c>
    </row>
    <row r="260" spans="1:6">
      <c r="A260" s="940">
        <v>88316</v>
      </c>
      <c r="B260" s="170" t="s">
        <v>66</v>
      </c>
      <c r="C260" s="41" t="s">
        <v>57</v>
      </c>
      <c r="D260" s="113">
        <v>0.29880000000000001</v>
      </c>
      <c r="E260" s="1257">
        <v>19.45</v>
      </c>
      <c r="F260" s="939">
        <f>TRUNC((D260*E260),2)</f>
        <v>5.81</v>
      </c>
    </row>
    <row r="261" spans="1:6">
      <c r="A261" s="969"/>
      <c r="B261" s="941"/>
      <c r="C261" s="10" t="s">
        <v>42</v>
      </c>
      <c r="D261" s="42" t="s">
        <v>42</v>
      </c>
      <c r="E261" s="1007" t="s">
        <v>58</v>
      </c>
      <c r="F261" s="942">
        <f>SUM(F259:F260)</f>
        <v>29.18</v>
      </c>
    </row>
    <row r="262" spans="1:6" ht="30">
      <c r="A262" s="969"/>
      <c r="B262" s="946" t="s">
        <v>95</v>
      </c>
      <c r="C262" s="36" t="s">
        <v>49</v>
      </c>
      <c r="D262" s="37" t="s">
        <v>50</v>
      </c>
      <c r="E262" s="46" t="s">
        <v>62</v>
      </c>
      <c r="F262" s="937" t="s">
        <v>52</v>
      </c>
    </row>
    <row r="263" spans="1:6" ht="25.5">
      <c r="A263" s="206">
        <v>36220</v>
      </c>
      <c r="B263" s="211" t="s">
        <v>433</v>
      </c>
      <c r="C263" s="41" t="s">
        <v>55</v>
      </c>
      <c r="D263" s="207">
        <v>1</v>
      </c>
      <c r="E263" s="1287">
        <v>156.24</v>
      </c>
      <c r="F263" s="939">
        <f>TRUNC((D263*E263),2)</f>
        <v>156.24</v>
      </c>
    </row>
    <row r="264" spans="1:6" ht="38.25">
      <c r="A264" s="210">
        <v>4351</v>
      </c>
      <c r="B264" s="211" t="s">
        <v>438</v>
      </c>
      <c r="C264" s="41" t="s">
        <v>55</v>
      </c>
      <c r="D264" s="207">
        <v>6</v>
      </c>
      <c r="E264" s="1287">
        <v>18.559999999999999</v>
      </c>
      <c r="F264" s="939">
        <f>TRUNC((D264*E264),2)</f>
        <v>111.36</v>
      </c>
    </row>
    <row r="265" spans="1:6">
      <c r="A265" s="61"/>
      <c r="B265" s="86"/>
      <c r="C265" s="66"/>
      <c r="D265" s="87"/>
      <c r="E265" s="167" t="s">
        <v>58</v>
      </c>
      <c r="F265" s="216">
        <f>SUM(F263:F264)</f>
        <v>267.60000000000002</v>
      </c>
    </row>
    <row r="266" spans="1:6" ht="15.75" thickBot="1">
      <c r="A266" s="982"/>
      <c r="B266" s="1966" t="s">
        <v>53</v>
      </c>
      <c r="C266" s="1967"/>
      <c r="D266" s="1967"/>
      <c r="E266" s="1961"/>
      <c r="F266" s="983">
        <f>F261+F265</f>
        <v>296.78000000000003</v>
      </c>
    </row>
    <row r="267" spans="1:6" ht="15.75" thickBot="1">
      <c r="A267" s="95"/>
      <c r="B267" s="95"/>
      <c r="C267" s="95"/>
      <c r="D267" s="95"/>
      <c r="E267" s="95"/>
      <c r="F267" s="95"/>
    </row>
    <row r="268" spans="1:6" ht="38.25">
      <c r="A268" s="230" t="s">
        <v>570</v>
      </c>
      <c r="B268" s="228" t="s">
        <v>1486</v>
      </c>
      <c r="C268" s="71" t="s">
        <v>46</v>
      </c>
      <c r="D268" s="72"/>
      <c r="E268" s="72"/>
      <c r="F268" s="209"/>
    </row>
    <row r="269" spans="1:6">
      <c r="A269" s="1957" t="s">
        <v>1487</v>
      </c>
      <c r="B269" s="1958"/>
      <c r="C269" s="1958"/>
      <c r="D269" s="1958"/>
      <c r="E269" s="1958"/>
      <c r="F269" s="1959"/>
    </row>
    <row r="270" spans="1:6" ht="30">
      <c r="A270" s="936"/>
      <c r="B270" s="946" t="s">
        <v>56</v>
      </c>
      <c r="C270" s="36" t="s">
        <v>49</v>
      </c>
      <c r="D270" s="37" t="s">
        <v>50</v>
      </c>
      <c r="E270" s="135" t="s">
        <v>62</v>
      </c>
      <c r="F270" s="937" t="s">
        <v>52</v>
      </c>
    </row>
    <row r="271" spans="1:6" ht="26.25" thickBot="1">
      <c r="A271" s="100">
        <v>88262</v>
      </c>
      <c r="B271" s="971" t="s">
        <v>441</v>
      </c>
      <c r="C271" s="972" t="s">
        <v>57</v>
      </c>
      <c r="D271" s="1009">
        <v>2.5</v>
      </c>
      <c r="E271" s="1288">
        <v>24.32</v>
      </c>
      <c r="F271" s="975">
        <f>TRUNC((D271*E271),2)</f>
        <v>60.8</v>
      </c>
    </row>
    <row r="272" spans="1:6" ht="25.5">
      <c r="A272" s="1237">
        <v>88239</v>
      </c>
      <c r="B272" s="996" t="s">
        <v>454</v>
      </c>
      <c r="C272" s="978" t="s">
        <v>57</v>
      </c>
      <c r="D272" s="1022">
        <v>2.5</v>
      </c>
      <c r="E272" s="980">
        <v>20.55</v>
      </c>
      <c r="F272" s="990">
        <f>TRUNC((D272*E272),2)</f>
        <v>51.37</v>
      </c>
    </row>
    <row r="273" spans="1:6">
      <c r="A273" s="969"/>
      <c r="B273" s="941"/>
      <c r="C273" s="10" t="s">
        <v>42</v>
      </c>
      <c r="D273" s="42" t="s">
        <v>42</v>
      </c>
      <c r="E273" s="167" t="s">
        <v>58</v>
      </c>
      <c r="F273" s="942">
        <f>SUM(F271:F272)</f>
        <v>112.16999999999999</v>
      </c>
    </row>
    <row r="274" spans="1:6" ht="30">
      <c r="A274" s="969"/>
      <c r="B274" s="946" t="s">
        <v>95</v>
      </c>
      <c r="C274" s="36" t="s">
        <v>49</v>
      </c>
      <c r="D274" s="37" t="s">
        <v>50</v>
      </c>
      <c r="E274" s="135" t="s">
        <v>62</v>
      </c>
      <c r="F274" s="937" t="s">
        <v>52</v>
      </c>
    </row>
    <row r="275" spans="1:6">
      <c r="A275" s="206">
        <v>584</v>
      </c>
      <c r="B275" s="1256" t="s">
        <v>2278</v>
      </c>
      <c r="C275" s="41" t="s">
        <v>54</v>
      </c>
      <c r="D275" s="207">
        <v>3.5</v>
      </c>
      <c r="E275" s="111">
        <v>35</v>
      </c>
      <c r="F275" s="939">
        <f>TRUNC((D275*E275),2)</f>
        <v>122.5</v>
      </c>
    </row>
    <row r="276" spans="1:6" ht="38.25">
      <c r="A276" s="206">
        <v>4358</v>
      </c>
      <c r="B276" s="98" t="s">
        <v>1502</v>
      </c>
      <c r="C276" s="41" t="s">
        <v>55</v>
      </c>
      <c r="D276" s="207">
        <v>2.5</v>
      </c>
      <c r="E276" s="1287">
        <v>2.2599999999999998</v>
      </c>
      <c r="F276" s="939">
        <f>TRUNC((D276*E276),2)</f>
        <v>5.65</v>
      </c>
    </row>
    <row r="277" spans="1:6" ht="25.5">
      <c r="A277" s="206">
        <v>11134</v>
      </c>
      <c r="B277" s="98" t="s">
        <v>1501</v>
      </c>
      <c r="C277" s="41" t="s">
        <v>46</v>
      </c>
      <c r="D277" s="207">
        <v>1.1000000000000001</v>
      </c>
      <c r="E277" s="1287">
        <v>110.43</v>
      </c>
      <c r="F277" s="939">
        <f>TRUNC((D277*E277),2)</f>
        <v>121.47</v>
      </c>
    </row>
    <row r="278" spans="1:6">
      <c r="A278" s="206">
        <v>11186</v>
      </c>
      <c r="B278" s="98" t="s">
        <v>1500</v>
      </c>
      <c r="C278" s="41" t="s">
        <v>46</v>
      </c>
      <c r="D278" s="207">
        <v>1.1000000000000001</v>
      </c>
      <c r="E278" s="1287">
        <v>668.87</v>
      </c>
      <c r="F278" s="939">
        <f>TRUNC((D278*E278),2)</f>
        <v>735.75</v>
      </c>
    </row>
    <row r="279" spans="1:6">
      <c r="A279" s="61"/>
      <c r="B279" s="86"/>
      <c r="C279" s="66"/>
      <c r="D279" s="87"/>
      <c r="E279" s="167" t="s">
        <v>58</v>
      </c>
      <c r="F279" s="216">
        <f>SUM(F275:F278)</f>
        <v>985.37</v>
      </c>
    </row>
    <row r="280" spans="1:6" ht="15.75" thickBot="1">
      <c r="A280" s="982"/>
      <c r="B280" s="1966" t="s">
        <v>53</v>
      </c>
      <c r="C280" s="1967"/>
      <c r="D280" s="1967"/>
      <c r="E280" s="1961"/>
      <c r="F280" s="983">
        <f>F273+F279</f>
        <v>1097.54</v>
      </c>
    </row>
    <row r="281" spans="1:6" ht="15.75" thickBot="1">
      <c r="A281" s="95"/>
      <c r="B281" s="95"/>
      <c r="C281" s="95"/>
      <c r="D281" s="95"/>
      <c r="E281" s="95"/>
      <c r="F281" s="95"/>
    </row>
    <row r="282" spans="1:6">
      <c r="A282" s="230" t="s">
        <v>578</v>
      </c>
      <c r="B282" s="285" t="s">
        <v>1492</v>
      </c>
      <c r="C282" s="470" t="s">
        <v>55</v>
      </c>
      <c r="D282" s="471"/>
      <c r="E282" s="472"/>
      <c r="F282" s="473"/>
    </row>
    <row r="283" spans="1:6">
      <c r="A283" s="1957" t="s">
        <v>1493</v>
      </c>
      <c r="B283" s="1958"/>
      <c r="C283" s="1958"/>
      <c r="D283" s="1958"/>
      <c r="E283" s="1958"/>
      <c r="F283" s="1959"/>
    </row>
    <row r="284" spans="1:6" ht="30">
      <c r="A284" s="936"/>
      <c r="B284" s="946" t="s">
        <v>56</v>
      </c>
      <c r="C284" s="36" t="s">
        <v>49</v>
      </c>
      <c r="D284" s="37" t="s">
        <v>50</v>
      </c>
      <c r="E284" s="135" t="s">
        <v>62</v>
      </c>
      <c r="F284" s="937" t="s">
        <v>52</v>
      </c>
    </row>
    <row r="285" spans="1:6">
      <c r="A285" s="206">
        <v>88309</v>
      </c>
      <c r="B285" s="995" t="s">
        <v>103</v>
      </c>
      <c r="C285" s="41" t="s">
        <v>57</v>
      </c>
      <c r="D285" s="113">
        <v>0.4</v>
      </c>
      <c r="E285" s="1280">
        <v>24.59</v>
      </c>
      <c r="F285" s="939">
        <f>TRUNC((D285*E285),2)</f>
        <v>9.83</v>
      </c>
    </row>
    <row r="286" spans="1:6">
      <c r="A286" s="940">
        <v>88316</v>
      </c>
      <c r="B286" s="474" t="s">
        <v>66</v>
      </c>
      <c r="C286" s="41" t="s">
        <v>57</v>
      </c>
      <c r="D286" s="113">
        <v>0.4</v>
      </c>
      <c r="E286" s="1257">
        <v>19.45</v>
      </c>
      <c r="F286" s="939">
        <f>TRUNC((D286*E286),2)</f>
        <v>7.78</v>
      </c>
    </row>
    <row r="287" spans="1:6">
      <c r="A287" s="969"/>
      <c r="B287" s="941"/>
      <c r="C287" s="10" t="s">
        <v>42</v>
      </c>
      <c r="D287" s="42" t="s">
        <v>42</v>
      </c>
      <c r="E287" s="167" t="s">
        <v>58</v>
      </c>
      <c r="F287" s="942">
        <f>SUM(F285:F286)</f>
        <v>17.61</v>
      </c>
    </row>
    <row r="288" spans="1:6" ht="30">
      <c r="A288" s="969"/>
      <c r="B288" s="946" t="s">
        <v>95</v>
      </c>
      <c r="C288" s="991" t="s">
        <v>49</v>
      </c>
      <c r="D288" s="992" t="s">
        <v>50</v>
      </c>
      <c r="E288" s="1238" t="s">
        <v>62</v>
      </c>
      <c r="F288" s="937" t="s">
        <v>52</v>
      </c>
    </row>
    <row r="289" spans="1:6" ht="25.5">
      <c r="A289" s="206">
        <v>37400</v>
      </c>
      <c r="B289" s="98" t="s">
        <v>1498</v>
      </c>
      <c r="C289" s="41" t="s">
        <v>55</v>
      </c>
      <c r="D289" s="207">
        <v>1</v>
      </c>
      <c r="E289" s="1287">
        <v>67.44</v>
      </c>
      <c r="F289" s="112">
        <f>TRUNC((D289*E289),2)</f>
        <v>67.44</v>
      </c>
    </row>
    <row r="290" spans="1:6">
      <c r="A290" s="61"/>
      <c r="B290" s="86"/>
      <c r="C290" s="66"/>
      <c r="D290" s="87"/>
      <c r="E290" s="167" t="s">
        <v>58</v>
      </c>
      <c r="F290" s="216">
        <f>SUM(F289:F289)</f>
        <v>67.44</v>
      </c>
    </row>
    <row r="291" spans="1:6" ht="15.75" thickBot="1">
      <c r="A291" s="982"/>
      <c r="B291" s="1966" t="s">
        <v>53</v>
      </c>
      <c r="C291" s="1967"/>
      <c r="D291" s="1967"/>
      <c r="E291" s="1961"/>
      <c r="F291" s="983">
        <f>F287+F290</f>
        <v>85.05</v>
      </c>
    </row>
    <row r="292" spans="1:6" ht="15.75" thickBot="1"/>
    <row r="293" spans="1:6">
      <c r="A293" s="230" t="s">
        <v>625</v>
      </c>
      <c r="B293" s="285" t="s">
        <v>1495</v>
      </c>
      <c r="C293" s="470" t="s">
        <v>55</v>
      </c>
      <c r="D293" s="471"/>
      <c r="E293" s="472"/>
      <c r="F293" s="473"/>
    </row>
    <row r="294" spans="1:6">
      <c r="A294" s="1957" t="s">
        <v>1496</v>
      </c>
      <c r="B294" s="1958"/>
      <c r="C294" s="1958"/>
      <c r="D294" s="1958"/>
      <c r="E294" s="1958"/>
      <c r="F294" s="1959"/>
    </row>
    <row r="295" spans="1:6" ht="30">
      <c r="A295" s="936"/>
      <c r="B295" s="946" t="s">
        <v>56</v>
      </c>
      <c r="C295" s="36" t="s">
        <v>49</v>
      </c>
      <c r="D295" s="37" t="s">
        <v>50</v>
      </c>
      <c r="E295" s="135" t="s">
        <v>62</v>
      </c>
      <c r="F295" s="937" t="s">
        <v>52</v>
      </c>
    </row>
    <row r="296" spans="1:6">
      <c r="A296" s="206">
        <v>88309</v>
      </c>
      <c r="B296" s="995" t="s">
        <v>103</v>
      </c>
      <c r="C296" s="41" t="s">
        <v>57</v>
      </c>
      <c r="D296" s="113">
        <v>0.4</v>
      </c>
      <c r="E296" s="1280">
        <v>24.59</v>
      </c>
      <c r="F296" s="939">
        <f>TRUNC((D296*E296),2)</f>
        <v>9.83</v>
      </c>
    </row>
    <row r="297" spans="1:6">
      <c r="A297" s="940">
        <v>88316</v>
      </c>
      <c r="B297" s="474" t="s">
        <v>66</v>
      </c>
      <c r="C297" s="41" t="s">
        <v>57</v>
      </c>
      <c r="D297" s="113">
        <v>0.4</v>
      </c>
      <c r="E297" s="1257">
        <v>19.45</v>
      </c>
      <c r="F297" s="939">
        <f>TRUNC((D297*E297),2)</f>
        <v>7.78</v>
      </c>
    </row>
    <row r="298" spans="1:6">
      <c r="A298" s="969"/>
      <c r="B298" s="941"/>
      <c r="C298" s="10" t="s">
        <v>42</v>
      </c>
      <c r="D298" s="42" t="s">
        <v>42</v>
      </c>
      <c r="E298" s="167" t="s">
        <v>58</v>
      </c>
      <c r="F298" s="942">
        <f>SUM(F296:F297)</f>
        <v>17.61</v>
      </c>
    </row>
    <row r="299" spans="1:6" ht="30">
      <c r="A299" s="969"/>
      <c r="B299" s="946" t="s">
        <v>95</v>
      </c>
      <c r="C299" s="36" t="s">
        <v>49</v>
      </c>
      <c r="D299" s="37" t="s">
        <v>50</v>
      </c>
      <c r="E299" s="135" t="s">
        <v>62</v>
      </c>
      <c r="F299" s="937" t="s">
        <v>52</v>
      </c>
    </row>
    <row r="300" spans="1:6" ht="25.5">
      <c r="A300" s="206">
        <v>37401</v>
      </c>
      <c r="B300" s="98" t="s">
        <v>1499</v>
      </c>
      <c r="C300" s="41" t="s">
        <v>55</v>
      </c>
      <c r="D300" s="207">
        <v>1</v>
      </c>
      <c r="E300" s="1287">
        <v>67.44</v>
      </c>
      <c r="F300" s="939">
        <f>TRUNC((D300*E300),2)</f>
        <v>67.44</v>
      </c>
    </row>
    <row r="301" spans="1:6">
      <c r="A301" s="61"/>
      <c r="B301" s="86"/>
      <c r="C301" s="66"/>
      <c r="D301" s="87"/>
      <c r="E301" s="167" t="s">
        <v>58</v>
      </c>
      <c r="F301" s="216">
        <f>SUM(F300:F300)</f>
        <v>67.44</v>
      </c>
    </row>
    <row r="302" spans="1:6" ht="15.75" thickBot="1">
      <c r="A302" s="982"/>
      <c r="B302" s="1966" t="s">
        <v>53</v>
      </c>
      <c r="C302" s="1967"/>
      <c r="D302" s="1967"/>
      <c r="E302" s="1961"/>
      <c r="F302" s="983">
        <f>F298+F301</f>
        <v>85.05</v>
      </c>
    </row>
    <row r="303" spans="1:6" ht="15.75" thickBot="1"/>
    <row r="304" spans="1:6" ht="51">
      <c r="A304" s="230" t="s">
        <v>1491</v>
      </c>
      <c r="B304" s="424" t="s">
        <v>1506</v>
      </c>
      <c r="C304" s="470" t="s">
        <v>46</v>
      </c>
      <c r="D304" s="471"/>
      <c r="E304" s="472"/>
      <c r="F304" s="473"/>
    </row>
    <row r="305" spans="1:6">
      <c r="A305" s="1957" t="s">
        <v>1519</v>
      </c>
      <c r="B305" s="1958"/>
      <c r="C305" s="1958"/>
      <c r="D305" s="1958"/>
      <c r="E305" s="1958"/>
      <c r="F305" s="1959"/>
    </row>
    <row r="306" spans="1:6" ht="30">
      <c r="A306" s="936"/>
      <c r="B306" s="946" t="s">
        <v>56</v>
      </c>
      <c r="C306" s="36" t="s">
        <v>49</v>
      </c>
      <c r="D306" s="37" t="s">
        <v>50</v>
      </c>
      <c r="E306" s="135" t="s">
        <v>62</v>
      </c>
      <c r="F306" s="937" t="s">
        <v>52</v>
      </c>
    </row>
    <row r="307" spans="1:6" ht="25.5">
      <c r="A307" s="206">
        <v>88256</v>
      </c>
      <c r="B307" s="995" t="s">
        <v>1477</v>
      </c>
      <c r="C307" s="41" t="s">
        <v>57</v>
      </c>
      <c r="D307" s="113">
        <v>0.91</v>
      </c>
      <c r="E307" s="1287">
        <v>24.49</v>
      </c>
      <c r="F307" s="939">
        <f>TRUNC((D307*E307),2)</f>
        <v>22.28</v>
      </c>
    </row>
    <row r="308" spans="1:6">
      <c r="A308" s="940">
        <v>88316</v>
      </c>
      <c r="B308" s="474" t="s">
        <v>66</v>
      </c>
      <c r="C308" s="41" t="s">
        <v>57</v>
      </c>
      <c r="D308" s="113">
        <v>0.46</v>
      </c>
      <c r="E308" s="1257">
        <v>19.45</v>
      </c>
      <c r="F308" s="939">
        <f>TRUNC((D308*E308),2)</f>
        <v>8.94</v>
      </c>
    </row>
    <row r="309" spans="1:6">
      <c r="A309" s="969"/>
      <c r="B309" s="941"/>
      <c r="C309" s="10" t="s">
        <v>42</v>
      </c>
      <c r="D309" s="42" t="s">
        <v>42</v>
      </c>
      <c r="E309" s="167" t="s">
        <v>58</v>
      </c>
      <c r="F309" s="942">
        <f>SUM(F307:F308)</f>
        <v>31.22</v>
      </c>
    </row>
    <row r="310" spans="1:6" ht="30">
      <c r="A310" s="969"/>
      <c r="B310" s="946" t="s">
        <v>95</v>
      </c>
      <c r="C310" s="36" t="s">
        <v>49</v>
      </c>
      <c r="D310" s="37" t="s">
        <v>50</v>
      </c>
      <c r="E310" s="135" t="s">
        <v>62</v>
      </c>
      <c r="F310" s="937" t="s">
        <v>52</v>
      </c>
    </row>
    <row r="311" spans="1:6" ht="38.25">
      <c r="A311" s="206">
        <v>536</v>
      </c>
      <c r="B311" s="98" t="s">
        <v>1507</v>
      </c>
      <c r="C311" s="41" t="s">
        <v>46</v>
      </c>
      <c r="D311" s="207">
        <v>1.0900000000000001</v>
      </c>
      <c r="E311" s="1287">
        <v>34.9</v>
      </c>
      <c r="F311" s="939">
        <f>TRUNC((D311*E311),2)</f>
        <v>38.04</v>
      </c>
    </row>
    <row r="312" spans="1:6">
      <c r="A312" s="206">
        <v>1381</v>
      </c>
      <c r="B312" s="98" t="s">
        <v>1508</v>
      </c>
      <c r="C312" s="41" t="s">
        <v>100</v>
      </c>
      <c r="D312" s="207">
        <v>6.14</v>
      </c>
      <c r="E312" s="1287">
        <v>1</v>
      </c>
      <c r="F312" s="939">
        <f t="shared" ref="F312:F313" si="1">TRUNC((D312*E312),2)</f>
        <v>6.14</v>
      </c>
    </row>
    <row r="313" spans="1:6">
      <c r="A313" s="206">
        <v>34357</v>
      </c>
      <c r="B313" s="98" t="s">
        <v>1478</v>
      </c>
      <c r="C313" s="41" t="s">
        <v>100</v>
      </c>
      <c r="D313" s="207">
        <v>0.22</v>
      </c>
      <c r="E313" s="1287">
        <v>5.87</v>
      </c>
      <c r="F313" s="939">
        <f t="shared" si="1"/>
        <v>1.29</v>
      </c>
    </row>
    <row r="314" spans="1:6">
      <c r="A314" s="61"/>
      <c r="B314" s="86"/>
      <c r="C314" s="66"/>
      <c r="D314" s="87"/>
      <c r="E314" s="167" t="s">
        <v>58</v>
      </c>
      <c r="F314" s="216">
        <f>SUM(F311:F313)</f>
        <v>45.47</v>
      </c>
    </row>
    <row r="315" spans="1:6" ht="15.75" thickBot="1">
      <c r="A315" s="982"/>
      <c r="B315" s="1966" t="s">
        <v>53</v>
      </c>
      <c r="C315" s="1967"/>
      <c r="D315" s="1967"/>
      <c r="E315" s="1961"/>
      <c r="F315" s="983">
        <f>F309+F314</f>
        <v>76.69</v>
      </c>
    </row>
    <row r="316" spans="1:6" ht="15.75" thickBot="1"/>
    <row r="317" spans="1:6" ht="51">
      <c r="A317" s="230" t="s">
        <v>1494</v>
      </c>
      <c r="B317" s="424" t="s">
        <v>1510</v>
      </c>
      <c r="C317" s="470" t="s">
        <v>46</v>
      </c>
      <c r="D317" s="471"/>
      <c r="E317" s="472"/>
      <c r="F317" s="473"/>
    </row>
    <row r="318" spans="1:6">
      <c r="A318" s="1957" t="s">
        <v>1518</v>
      </c>
      <c r="B318" s="1958"/>
      <c r="C318" s="1958"/>
      <c r="D318" s="1958"/>
      <c r="E318" s="1958"/>
      <c r="F318" s="1959"/>
    </row>
    <row r="319" spans="1:6" ht="30">
      <c r="A319" s="936"/>
      <c r="B319" s="946" t="s">
        <v>56</v>
      </c>
      <c r="C319" s="991" t="s">
        <v>49</v>
      </c>
      <c r="D319" s="992" t="s">
        <v>50</v>
      </c>
      <c r="E319" s="1238" t="s">
        <v>62</v>
      </c>
      <c r="F319" s="937" t="s">
        <v>52</v>
      </c>
    </row>
    <row r="320" spans="1:6" ht="25.5">
      <c r="A320" s="206">
        <v>88256</v>
      </c>
      <c r="B320" s="98" t="s">
        <v>1477</v>
      </c>
      <c r="C320" s="41" t="s">
        <v>57</v>
      </c>
      <c r="D320" s="113">
        <v>1.02</v>
      </c>
      <c r="E320" s="1287">
        <v>24.49</v>
      </c>
      <c r="F320" s="112">
        <f>TRUNC((D320*E320),2)</f>
        <v>24.97</v>
      </c>
    </row>
    <row r="321" spans="1:6">
      <c r="A321" s="940">
        <v>88316</v>
      </c>
      <c r="B321" s="474" t="s">
        <v>66</v>
      </c>
      <c r="C321" s="41" t="s">
        <v>57</v>
      </c>
      <c r="D321" s="113">
        <v>0.5</v>
      </c>
      <c r="E321" s="1257">
        <v>19.45</v>
      </c>
      <c r="F321" s="939">
        <f>TRUNC((D321*E321),2)</f>
        <v>9.7200000000000006</v>
      </c>
    </row>
    <row r="322" spans="1:6">
      <c r="A322" s="969"/>
      <c r="B322" s="941"/>
      <c r="C322" s="10" t="s">
        <v>42</v>
      </c>
      <c r="D322" s="42" t="s">
        <v>42</v>
      </c>
      <c r="E322" s="167" t="s">
        <v>58</v>
      </c>
      <c r="F322" s="942">
        <f>SUM(F320:F321)</f>
        <v>34.69</v>
      </c>
    </row>
    <row r="323" spans="1:6" ht="30">
      <c r="A323" s="969"/>
      <c r="B323" s="946" t="s">
        <v>95</v>
      </c>
      <c r="C323" s="36" t="s">
        <v>49</v>
      </c>
      <c r="D323" s="37" t="s">
        <v>50</v>
      </c>
      <c r="E323" s="135" t="s">
        <v>62</v>
      </c>
      <c r="F323" s="937" t="s">
        <v>52</v>
      </c>
    </row>
    <row r="324" spans="1:6" ht="38.25">
      <c r="A324" s="206">
        <v>536</v>
      </c>
      <c r="B324" s="98" t="s">
        <v>1507</v>
      </c>
      <c r="C324" s="41" t="s">
        <v>46</v>
      </c>
      <c r="D324" s="207">
        <v>1.0900000000000001</v>
      </c>
      <c r="E324" s="1287">
        <v>34.9</v>
      </c>
      <c r="F324" s="939">
        <f>TRUNC((D324*E324),2)</f>
        <v>38.04</v>
      </c>
    </row>
    <row r="325" spans="1:6">
      <c r="A325" s="206">
        <v>1381</v>
      </c>
      <c r="B325" s="98" t="s">
        <v>1508</v>
      </c>
      <c r="C325" s="41" t="s">
        <v>100</v>
      </c>
      <c r="D325" s="207">
        <v>6.14</v>
      </c>
      <c r="E325" s="1287">
        <v>1</v>
      </c>
      <c r="F325" s="939">
        <f t="shared" ref="F325:F326" si="2">TRUNC((D325*E325),2)</f>
        <v>6.14</v>
      </c>
    </row>
    <row r="326" spans="1:6">
      <c r="A326" s="206">
        <v>34357</v>
      </c>
      <c r="B326" s="98" t="s">
        <v>1478</v>
      </c>
      <c r="C326" s="41" t="s">
        <v>100</v>
      </c>
      <c r="D326" s="207">
        <v>0.22</v>
      </c>
      <c r="E326" s="1287">
        <v>5.87</v>
      </c>
      <c r="F326" s="939">
        <f t="shared" si="2"/>
        <v>1.29</v>
      </c>
    </row>
    <row r="327" spans="1:6">
      <c r="A327" s="61"/>
      <c r="B327" s="86"/>
      <c r="C327" s="66"/>
      <c r="D327" s="87"/>
      <c r="E327" s="167" t="s">
        <v>58</v>
      </c>
      <c r="F327" s="216">
        <f>SUM(F324:F326)</f>
        <v>45.47</v>
      </c>
    </row>
    <row r="328" spans="1:6" ht="15.75" thickBot="1">
      <c r="A328" s="982"/>
      <c r="B328" s="1966" t="s">
        <v>53</v>
      </c>
      <c r="C328" s="1967"/>
      <c r="D328" s="1967"/>
      <c r="E328" s="1961"/>
      <c r="F328" s="983">
        <f>F322+F327</f>
        <v>80.16</v>
      </c>
    </row>
    <row r="329" spans="1:6" ht="15.75" thickBot="1"/>
    <row r="330" spans="1:6" ht="38.25">
      <c r="A330" s="230" t="s">
        <v>1505</v>
      </c>
      <c r="B330" s="481" t="s">
        <v>1528</v>
      </c>
      <c r="C330" s="470" t="s">
        <v>46</v>
      </c>
      <c r="D330" s="471"/>
      <c r="E330" s="472"/>
      <c r="F330" s="473"/>
    </row>
    <row r="331" spans="1:6">
      <c r="A331" s="1957" t="s">
        <v>1526</v>
      </c>
      <c r="B331" s="1958"/>
      <c r="C331" s="1958"/>
      <c r="D331" s="1958"/>
      <c r="E331" s="1958"/>
      <c r="F331" s="1959"/>
    </row>
    <row r="332" spans="1:6" ht="30">
      <c r="A332" s="936"/>
      <c r="B332" s="946" t="s">
        <v>56</v>
      </c>
      <c r="C332" s="36" t="s">
        <v>49</v>
      </c>
      <c r="D332" s="37" t="s">
        <v>50</v>
      </c>
      <c r="E332" s="135" t="s">
        <v>62</v>
      </c>
      <c r="F332" s="937" t="s">
        <v>52</v>
      </c>
    </row>
    <row r="333" spans="1:6" ht="25.5">
      <c r="A333" s="206">
        <v>88256</v>
      </c>
      <c r="B333" s="995" t="s">
        <v>1477</v>
      </c>
      <c r="C333" s="41" t="s">
        <v>57</v>
      </c>
      <c r="D333" s="113">
        <v>0.4</v>
      </c>
      <c r="E333" s="1287">
        <v>24.49</v>
      </c>
      <c r="F333" s="939">
        <f>TRUNC((D333*E333),2)</f>
        <v>9.7899999999999991</v>
      </c>
    </row>
    <row r="334" spans="1:6">
      <c r="A334" s="940">
        <v>88316</v>
      </c>
      <c r="B334" s="474" t="s">
        <v>66</v>
      </c>
      <c r="C334" s="41" t="s">
        <v>57</v>
      </c>
      <c r="D334" s="113">
        <v>0.34</v>
      </c>
      <c r="E334" s="1257">
        <v>19.45</v>
      </c>
      <c r="F334" s="939">
        <f>TRUNC((D334*E334),2)</f>
        <v>6.61</v>
      </c>
    </row>
    <row r="335" spans="1:6">
      <c r="A335" s="969"/>
      <c r="B335" s="941"/>
      <c r="C335" s="10" t="s">
        <v>42</v>
      </c>
      <c r="D335" s="42" t="s">
        <v>42</v>
      </c>
      <c r="E335" s="167" t="s">
        <v>58</v>
      </c>
      <c r="F335" s="942">
        <f>SUM(F333:F334)</f>
        <v>16.399999999999999</v>
      </c>
    </row>
    <row r="336" spans="1:6" ht="30">
      <c r="A336" s="969"/>
      <c r="B336" s="946" t="s">
        <v>95</v>
      </c>
      <c r="C336" s="36" t="s">
        <v>49</v>
      </c>
      <c r="D336" s="37" t="s">
        <v>50</v>
      </c>
      <c r="E336" s="135" t="s">
        <v>62</v>
      </c>
      <c r="F336" s="937" t="s">
        <v>52</v>
      </c>
    </row>
    <row r="337" spans="1:6" ht="25.5">
      <c r="A337" s="192" t="s">
        <v>65</v>
      </c>
      <c r="B337" s="482" t="s">
        <v>1529</v>
      </c>
      <c r="C337" s="41" t="s">
        <v>46</v>
      </c>
      <c r="D337" s="207">
        <v>1.05</v>
      </c>
      <c r="E337" s="111">
        <f>C347</f>
        <v>154.9</v>
      </c>
      <c r="F337" s="939">
        <f>TRUNC((D337*E337),2)</f>
        <v>162.63999999999999</v>
      </c>
    </row>
    <row r="338" spans="1:6">
      <c r="A338" s="206">
        <v>34353</v>
      </c>
      <c r="B338" s="98" t="s">
        <v>1527</v>
      </c>
      <c r="C338" s="41" t="s">
        <v>100</v>
      </c>
      <c r="D338" s="207">
        <v>4</v>
      </c>
      <c r="E338" s="1287">
        <v>1.86</v>
      </c>
      <c r="F338" s="939">
        <f>TRUNC((D338*E338),2)</f>
        <v>7.44</v>
      </c>
    </row>
    <row r="339" spans="1:6">
      <c r="A339" s="206">
        <v>34357</v>
      </c>
      <c r="B339" s="98" t="s">
        <v>1478</v>
      </c>
      <c r="C339" s="41" t="s">
        <v>100</v>
      </c>
      <c r="D339" s="207">
        <v>0.66</v>
      </c>
      <c r="E339" s="1287">
        <v>5.87</v>
      </c>
      <c r="F339" s="939">
        <f>TRUNC((D339*E339),2)</f>
        <v>3.87</v>
      </c>
    </row>
    <row r="340" spans="1:6">
      <c r="A340" s="61"/>
      <c r="B340" s="86"/>
      <c r="C340" s="66"/>
      <c r="D340" s="87"/>
      <c r="E340" s="167" t="s">
        <v>58</v>
      </c>
      <c r="F340" s="216">
        <f>F337+F338+F339</f>
        <v>173.95</v>
      </c>
    </row>
    <row r="341" spans="1:6" ht="15.75" thickBot="1">
      <c r="A341" s="982"/>
      <c r="B341" s="1966" t="s">
        <v>53</v>
      </c>
      <c r="C341" s="1967"/>
      <c r="D341" s="1967"/>
      <c r="E341" s="1961"/>
      <c r="F341" s="983">
        <f>SUM(F335,F340)</f>
        <v>190.35</v>
      </c>
    </row>
    <row r="342" spans="1:6">
      <c r="A342" s="89"/>
      <c r="B342" s="1983" t="s">
        <v>96</v>
      </c>
      <c r="C342" s="1984"/>
      <c r="D342" s="1984"/>
      <c r="E342" s="1985"/>
      <c r="F342" s="90"/>
    </row>
    <row r="343" spans="1:6" ht="25.5">
      <c r="A343" s="75" t="s">
        <v>59</v>
      </c>
      <c r="B343" s="46" t="s">
        <v>97</v>
      </c>
      <c r="C343" s="166" t="s">
        <v>98</v>
      </c>
      <c r="D343" s="1976" t="s">
        <v>60</v>
      </c>
      <c r="E343" s="1976"/>
      <c r="F343" s="76" t="s">
        <v>99</v>
      </c>
    </row>
    <row r="344" spans="1:6" ht="25.5">
      <c r="A344" s="1255">
        <v>44853</v>
      </c>
      <c r="B344" s="1256" t="s">
        <v>2143</v>
      </c>
      <c r="C344" s="1257">
        <v>154.9</v>
      </c>
      <c r="D344" s="1962" t="s">
        <v>2105</v>
      </c>
      <c r="E344" s="1963"/>
      <c r="F344" s="1258" t="s">
        <v>2403</v>
      </c>
    </row>
    <row r="345" spans="1:6" ht="38.25">
      <c r="A345" s="1255">
        <v>44851</v>
      </c>
      <c r="B345" s="1256" t="s">
        <v>2258</v>
      </c>
      <c r="C345" s="1257">
        <v>272</v>
      </c>
      <c r="D345" s="1962" t="s">
        <v>2259</v>
      </c>
      <c r="E345" s="1963"/>
      <c r="F345" s="1258" t="s">
        <v>2413</v>
      </c>
    </row>
    <row r="346" spans="1:6" ht="25.5">
      <c r="A346" s="1255">
        <v>44869</v>
      </c>
      <c r="B346" s="1256" t="s">
        <v>2260</v>
      </c>
      <c r="C346" s="1257">
        <v>154.5</v>
      </c>
      <c r="D346" s="1962" t="s">
        <v>2261</v>
      </c>
      <c r="E346" s="1963"/>
      <c r="F346" s="1258" t="s">
        <v>2414</v>
      </c>
    </row>
    <row r="347" spans="1:6" ht="15.75" thickBot="1">
      <c r="A347" s="63"/>
      <c r="B347" s="176" t="s">
        <v>61</v>
      </c>
      <c r="C347" s="64">
        <f>MEDIAN(C344:C346)</f>
        <v>154.9</v>
      </c>
      <c r="D347" s="1978"/>
      <c r="E347" s="1979"/>
      <c r="F347" s="65"/>
    </row>
    <row r="348" spans="1:6" ht="15.75" thickBot="1"/>
    <row r="349" spans="1:6" ht="25.5">
      <c r="A349" s="230" t="s">
        <v>1509</v>
      </c>
      <c r="B349" s="228" t="s">
        <v>1647</v>
      </c>
      <c r="C349" s="470"/>
      <c r="D349" s="510" t="s">
        <v>1649</v>
      </c>
      <c r="E349" s="472"/>
      <c r="F349" s="473"/>
    </row>
    <row r="350" spans="1:6" ht="15.75" thickBot="1">
      <c r="A350" s="1980" t="s">
        <v>1648</v>
      </c>
      <c r="B350" s="1981"/>
      <c r="C350" s="1981"/>
      <c r="D350" s="1981"/>
      <c r="E350" s="1981"/>
      <c r="F350" s="1982"/>
    </row>
    <row r="351" spans="1:6" ht="30">
      <c r="A351" s="1239"/>
      <c r="B351" s="993" t="s">
        <v>56</v>
      </c>
      <c r="C351" s="1019" t="s">
        <v>49</v>
      </c>
      <c r="D351" s="1020" t="s">
        <v>50</v>
      </c>
      <c r="E351" s="1021" t="s">
        <v>62</v>
      </c>
      <c r="F351" s="994" t="s">
        <v>52</v>
      </c>
    </row>
    <row r="352" spans="1:6">
      <c r="A352" s="940"/>
      <c r="B352" s="474"/>
      <c r="C352" s="41" t="s">
        <v>57</v>
      </c>
      <c r="D352" s="113"/>
      <c r="E352" s="111"/>
      <c r="F352" s="939">
        <f>TRUNC((D352*E352),2)</f>
        <v>0</v>
      </c>
    </row>
    <row r="353" spans="1:8">
      <c r="A353" s="969"/>
      <c r="B353" s="941"/>
      <c r="C353" s="10" t="s">
        <v>42</v>
      </c>
      <c r="D353" s="42" t="s">
        <v>42</v>
      </c>
      <c r="E353" s="167" t="s">
        <v>58</v>
      </c>
      <c r="F353" s="942">
        <f>SUM(F352:F352)</f>
        <v>0</v>
      </c>
    </row>
    <row r="354" spans="1:8" ht="30">
      <c r="A354" s="969"/>
      <c r="B354" s="946" t="s">
        <v>95</v>
      </c>
      <c r="C354" s="36" t="s">
        <v>49</v>
      </c>
      <c r="D354" s="37" t="s">
        <v>50</v>
      </c>
      <c r="E354" s="135" t="s">
        <v>62</v>
      </c>
      <c r="F354" s="937" t="s">
        <v>52</v>
      </c>
    </row>
    <row r="355" spans="1:8">
      <c r="A355" s="192" t="s">
        <v>65</v>
      </c>
      <c r="B355" s="98" t="s">
        <v>327</v>
      </c>
      <c r="C355" s="41" t="s">
        <v>55</v>
      </c>
      <c r="D355" s="207">
        <v>1</v>
      </c>
      <c r="E355" s="111">
        <f>C364</f>
        <v>13080</v>
      </c>
      <c r="F355" s="939">
        <f>TRUNC((D355*E355),2)</f>
        <v>13080</v>
      </c>
    </row>
    <row r="356" spans="1:8">
      <c r="A356" s="61"/>
      <c r="B356" s="86"/>
      <c r="C356" s="66"/>
      <c r="D356" s="87"/>
      <c r="E356" s="167" t="s">
        <v>58</v>
      </c>
      <c r="F356" s="216">
        <f>SUM(F355:F355)</f>
        <v>13080</v>
      </c>
    </row>
    <row r="357" spans="1:8" ht="15.75" thickBot="1">
      <c r="A357" s="982"/>
      <c r="B357" s="1966" t="s">
        <v>53</v>
      </c>
      <c r="C357" s="1967"/>
      <c r="D357" s="1967"/>
      <c r="E357" s="1961"/>
      <c r="F357" s="983">
        <f>F353+F356</f>
        <v>13080</v>
      </c>
    </row>
    <row r="358" spans="1:8">
      <c r="A358" s="89"/>
      <c r="B358" s="1983" t="s">
        <v>96</v>
      </c>
      <c r="C358" s="1984"/>
      <c r="D358" s="1984"/>
      <c r="E358" s="1985"/>
      <c r="F358" s="90"/>
    </row>
    <row r="359" spans="1:8" ht="25.5">
      <c r="A359" s="75" t="s">
        <v>59</v>
      </c>
      <c r="B359" s="46" t="s">
        <v>97</v>
      </c>
      <c r="C359" s="166" t="s">
        <v>98</v>
      </c>
      <c r="D359" s="1976" t="s">
        <v>60</v>
      </c>
      <c r="E359" s="1976"/>
      <c r="F359" s="76" t="s">
        <v>99</v>
      </c>
    </row>
    <row r="360" spans="1:8" ht="25.5">
      <c r="A360" s="75" t="s">
        <v>59</v>
      </c>
      <c r="B360" s="46" t="s">
        <v>97</v>
      </c>
      <c r="C360" s="166" t="s">
        <v>98</v>
      </c>
      <c r="D360" s="1976" t="s">
        <v>60</v>
      </c>
      <c r="E360" s="1976"/>
      <c r="F360" s="76" t="s">
        <v>99</v>
      </c>
    </row>
    <row r="361" spans="1:8" ht="25.5">
      <c r="A361" s="1255">
        <v>44855</v>
      </c>
      <c r="B361" s="1256" t="s">
        <v>2108</v>
      </c>
      <c r="C361" s="1257">
        <v>16800</v>
      </c>
      <c r="D361" s="1962" t="s">
        <v>2112</v>
      </c>
      <c r="E361" s="1963"/>
      <c r="F361" s="1258" t="s">
        <v>2407</v>
      </c>
    </row>
    <row r="362" spans="1:8" ht="45" customHeight="1">
      <c r="A362" s="1255">
        <v>44890</v>
      </c>
      <c r="B362" s="1256" t="s">
        <v>2252</v>
      </c>
      <c r="C362" s="1269">
        <v>12660</v>
      </c>
      <c r="D362" s="1962" t="s">
        <v>2253</v>
      </c>
      <c r="E362" s="1963"/>
      <c r="F362" s="1258" t="s">
        <v>2408</v>
      </c>
    </row>
    <row r="363" spans="1:8" ht="38.25">
      <c r="A363" s="1255">
        <v>44852</v>
      </c>
      <c r="B363" s="1259" t="s">
        <v>2116</v>
      </c>
      <c r="C363" s="1257">
        <v>13080</v>
      </c>
      <c r="D363" s="1962" t="s">
        <v>2117</v>
      </c>
      <c r="E363" s="1963"/>
      <c r="F363" s="1271" t="s">
        <v>2409</v>
      </c>
      <c r="H363" s="1268" t="s">
        <v>2262</v>
      </c>
    </row>
    <row r="364" spans="1:8" ht="15.75" thickBot="1">
      <c r="A364" s="63"/>
      <c r="B364" s="176" t="s">
        <v>61</v>
      </c>
      <c r="C364" s="64">
        <f>MEDIAN(C361:C363)</f>
        <v>13080</v>
      </c>
      <c r="D364" s="1978"/>
      <c r="E364" s="1979"/>
      <c r="F364" s="65"/>
    </row>
    <row r="365" spans="1:8" ht="15.75" thickBot="1"/>
    <row r="366" spans="1:8" ht="25.5">
      <c r="A366" s="230" t="s">
        <v>1515</v>
      </c>
      <c r="B366" s="424" t="s">
        <v>2269</v>
      </c>
      <c r="C366" s="470" t="s">
        <v>1649</v>
      </c>
      <c r="D366" s="471"/>
      <c r="E366" s="472"/>
      <c r="F366" s="473"/>
    </row>
    <row r="367" spans="1:8">
      <c r="A367" s="1957" t="s">
        <v>2229</v>
      </c>
      <c r="B367" s="1958"/>
      <c r="C367" s="1958"/>
      <c r="D367" s="1958"/>
      <c r="E367" s="1958"/>
      <c r="F367" s="1959"/>
    </row>
    <row r="368" spans="1:8" ht="30">
      <c r="A368" s="936"/>
      <c r="B368" s="946" t="s">
        <v>56</v>
      </c>
      <c r="C368" s="36" t="s">
        <v>49</v>
      </c>
      <c r="D368" s="37" t="s">
        <v>50</v>
      </c>
      <c r="E368" s="135" t="s">
        <v>62</v>
      </c>
      <c r="F368" s="937" t="s">
        <v>52</v>
      </c>
    </row>
    <row r="369" spans="1:6">
      <c r="A369" s="940"/>
      <c r="B369" s="474"/>
      <c r="C369" s="41"/>
      <c r="D369" s="113"/>
      <c r="E369" s="111"/>
      <c r="F369" s="939">
        <f>TRUNC((D369*E369),2)</f>
        <v>0</v>
      </c>
    </row>
    <row r="370" spans="1:6">
      <c r="A370" s="969"/>
      <c r="B370" s="941"/>
      <c r="C370" s="10" t="s">
        <v>42</v>
      </c>
      <c r="D370" s="42" t="s">
        <v>42</v>
      </c>
      <c r="E370" s="167" t="s">
        <v>58</v>
      </c>
      <c r="F370" s="942">
        <f>SUM(F369:F369)</f>
        <v>0</v>
      </c>
    </row>
    <row r="371" spans="1:6" ht="30">
      <c r="A371" s="969"/>
      <c r="B371" s="946" t="s">
        <v>95</v>
      </c>
      <c r="C371" s="36" t="s">
        <v>49</v>
      </c>
      <c r="D371" s="37" t="s">
        <v>50</v>
      </c>
      <c r="E371" s="135" t="s">
        <v>62</v>
      </c>
      <c r="F371" s="937" t="s">
        <v>52</v>
      </c>
    </row>
    <row r="372" spans="1:6">
      <c r="A372" s="192" t="s">
        <v>65</v>
      </c>
      <c r="B372" s="98" t="s">
        <v>2102</v>
      </c>
      <c r="C372" s="41" t="s">
        <v>55</v>
      </c>
      <c r="D372" s="207">
        <v>1</v>
      </c>
      <c r="E372" s="111">
        <f>C380</f>
        <v>13469.3</v>
      </c>
      <c r="F372" s="939">
        <f>TRUNC((D372*E372),2)</f>
        <v>13469.3</v>
      </c>
    </row>
    <row r="373" spans="1:6">
      <c r="A373" s="61"/>
      <c r="B373" s="86"/>
      <c r="C373" s="66"/>
      <c r="D373" s="87"/>
      <c r="E373" s="167" t="s">
        <v>58</v>
      </c>
      <c r="F373" s="216">
        <f>SUM(F372:F372)</f>
        <v>13469.3</v>
      </c>
    </row>
    <row r="374" spans="1:6" ht="15.75" thickBot="1">
      <c r="A374" s="982"/>
      <c r="B374" s="1966" t="s">
        <v>53</v>
      </c>
      <c r="C374" s="1967"/>
      <c r="D374" s="1967"/>
      <c r="E374" s="1961"/>
      <c r="F374" s="983">
        <f>F370+F373</f>
        <v>13469.3</v>
      </c>
    </row>
    <row r="375" spans="1:6">
      <c r="A375" s="271"/>
      <c r="B375" s="1972" t="s">
        <v>96</v>
      </c>
      <c r="C375" s="1973"/>
      <c r="D375" s="1973"/>
      <c r="E375" s="1974"/>
      <c r="F375" s="272"/>
    </row>
    <row r="376" spans="1:6" ht="25.5">
      <c r="A376" s="75" t="s">
        <v>59</v>
      </c>
      <c r="B376" s="46" t="s">
        <v>97</v>
      </c>
      <c r="C376" s="166" t="s">
        <v>98</v>
      </c>
      <c r="D376" s="1976" t="s">
        <v>60</v>
      </c>
      <c r="E376" s="1976"/>
      <c r="F376" s="76" t="s">
        <v>99</v>
      </c>
    </row>
    <row r="377" spans="1:6" ht="25.5">
      <c r="A377" s="1255">
        <v>44859</v>
      </c>
      <c r="B377" s="1259" t="s">
        <v>2275</v>
      </c>
      <c r="C377" s="1257">
        <v>8200</v>
      </c>
      <c r="D377" s="1977" t="s">
        <v>2276</v>
      </c>
      <c r="E377" s="1977"/>
      <c r="F377" s="62" t="s">
        <v>2415</v>
      </c>
    </row>
    <row r="378" spans="1:6">
      <c r="A378" s="1255">
        <v>44862</v>
      </c>
      <c r="B378" s="1256" t="s">
        <v>2271</v>
      </c>
      <c r="C378" s="1257">
        <v>15660</v>
      </c>
      <c r="D378" s="1962" t="s">
        <v>2272</v>
      </c>
      <c r="E378" s="1963"/>
      <c r="F378" s="62" t="s">
        <v>2416</v>
      </c>
    </row>
    <row r="379" spans="1:6" ht="25.5">
      <c r="A379" s="1255">
        <v>44882</v>
      </c>
      <c r="B379" s="1256" t="s">
        <v>2273</v>
      </c>
      <c r="C379" s="1257">
        <v>13469.3</v>
      </c>
      <c r="D379" s="1962" t="s">
        <v>2274</v>
      </c>
      <c r="E379" s="1963"/>
      <c r="F379" s="62" t="s">
        <v>2417</v>
      </c>
    </row>
    <row r="380" spans="1:6" ht="15.75" thickBot="1">
      <c r="A380" s="1128"/>
      <c r="B380" s="1129" t="s">
        <v>61</v>
      </c>
      <c r="C380" s="1283">
        <f>MEDIAN(C377:C379)</f>
        <v>13469.3</v>
      </c>
      <c r="D380" s="1968"/>
      <c r="E380" s="1965"/>
      <c r="F380" s="1131"/>
    </row>
    <row r="381" spans="1:6" ht="15.75" thickBot="1"/>
    <row r="382" spans="1:6" ht="25.5">
      <c r="A382" s="230" t="s">
        <v>1516</v>
      </c>
      <c r="B382" s="228" t="s">
        <v>2118</v>
      </c>
      <c r="C382" s="470" t="s">
        <v>1649</v>
      </c>
      <c r="D382" s="471"/>
      <c r="E382" s="472"/>
      <c r="F382" s="473"/>
    </row>
    <row r="383" spans="1:6">
      <c r="A383" s="1969" t="s">
        <v>2229</v>
      </c>
      <c r="B383" s="1970"/>
      <c r="C383" s="1970"/>
      <c r="D383" s="1970"/>
      <c r="E383" s="1970"/>
      <c r="F383" s="1971"/>
    </row>
    <row r="384" spans="1:6" ht="30">
      <c r="A384" s="34"/>
      <c r="B384" s="35" t="s">
        <v>56</v>
      </c>
      <c r="C384" s="36" t="s">
        <v>49</v>
      </c>
      <c r="D384" s="37" t="s">
        <v>50</v>
      </c>
      <c r="E384" s="46" t="s">
        <v>62</v>
      </c>
      <c r="F384" s="38" t="s">
        <v>52</v>
      </c>
    </row>
    <row r="385" spans="1:9">
      <c r="A385" s="940"/>
      <c r="B385" s="474"/>
      <c r="C385" s="41"/>
      <c r="D385" s="113"/>
      <c r="E385" s="111"/>
      <c r="F385" s="939">
        <f>TRUNC((D385*E385),2)</f>
        <v>0</v>
      </c>
    </row>
    <row r="386" spans="1:9">
      <c r="A386" s="969"/>
      <c r="B386" s="941"/>
      <c r="C386" s="10" t="s">
        <v>42</v>
      </c>
      <c r="D386" s="42" t="s">
        <v>42</v>
      </c>
      <c r="E386" s="167" t="s">
        <v>58</v>
      </c>
      <c r="F386" s="942">
        <f>SUM(F385:F385)</f>
        <v>0</v>
      </c>
    </row>
    <row r="387" spans="1:9" ht="30">
      <c r="A387" s="969"/>
      <c r="B387" s="946" t="s">
        <v>95</v>
      </c>
      <c r="C387" s="36" t="s">
        <v>49</v>
      </c>
      <c r="D387" s="37" t="s">
        <v>50</v>
      </c>
      <c r="E387" s="135" t="s">
        <v>62</v>
      </c>
      <c r="F387" s="937" t="s">
        <v>52</v>
      </c>
    </row>
    <row r="388" spans="1:9" ht="25.5">
      <c r="A388" s="192" t="s">
        <v>65</v>
      </c>
      <c r="B388" s="98" t="s">
        <v>2230</v>
      </c>
      <c r="C388" s="41" t="s">
        <v>55</v>
      </c>
      <c r="D388" s="207">
        <v>1</v>
      </c>
      <c r="E388" s="111">
        <f>C396</f>
        <v>5500</v>
      </c>
      <c r="F388" s="939">
        <f>TRUNC((D388*E388),2)</f>
        <v>5500</v>
      </c>
      <c r="H388" s="179" t="s">
        <v>2087</v>
      </c>
    </row>
    <row r="389" spans="1:9">
      <c r="A389" s="61"/>
      <c r="B389" s="86"/>
      <c r="C389" s="66"/>
      <c r="D389" s="87"/>
      <c r="E389" s="167" t="s">
        <v>58</v>
      </c>
      <c r="F389" s="216">
        <f>SUM(F388:F388)</f>
        <v>5500</v>
      </c>
      <c r="H389" s="179" t="s">
        <v>2088</v>
      </c>
    </row>
    <row r="390" spans="1:9" ht="15.75" thickBot="1">
      <c r="A390" s="982"/>
      <c r="B390" s="1966" t="s">
        <v>53</v>
      </c>
      <c r="C390" s="1967"/>
      <c r="D390" s="1967"/>
      <c r="E390" s="1961"/>
      <c r="F390" s="983">
        <f>F386+F389</f>
        <v>5500</v>
      </c>
    </row>
    <row r="391" spans="1:9">
      <c r="A391" s="271"/>
      <c r="B391" s="1972" t="s">
        <v>96</v>
      </c>
      <c r="C391" s="1973"/>
      <c r="D391" s="1973"/>
      <c r="E391" s="1974"/>
      <c r="F391" s="272"/>
    </row>
    <row r="392" spans="1:9" ht="25.5">
      <c r="A392" s="1275" t="s">
        <v>59</v>
      </c>
      <c r="B392" s="1276" t="s">
        <v>97</v>
      </c>
      <c r="C392" s="1277" t="s">
        <v>98</v>
      </c>
      <c r="D392" s="1975" t="s">
        <v>60</v>
      </c>
      <c r="E392" s="1975"/>
      <c r="F392" s="1278" t="s">
        <v>99</v>
      </c>
    </row>
    <row r="393" spans="1:9" ht="25.5">
      <c r="A393" s="1255">
        <v>44851</v>
      </c>
      <c r="B393" s="1256" t="s">
        <v>2263</v>
      </c>
      <c r="C393" s="1257">
        <v>5500</v>
      </c>
      <c r="D393" s="1962" t="s">
        <v>2264</v>
      </c>
      <c r="E393" s="1963"/>
      <c r="F393" s="1258" t="s">
        <v>2418</v>
      </c>
      <c r="H393" s="1042"/>
    </row>
    <row r="394" spans="1:9" ht="25.5">
      <c r="A394" s="1255">
        <v>44851</v>
      </c>
      <c r="B394" s="1256" t="s">
        <v>2265</v>
      </c>
      <c r="C394" s="1257">
        <v>8640</v>
      </c>
      <c r="D394" s="1962" t="s">
        <v>2266</v>
      </c>
      <c r="E394" s="1963"/>
      <c r="F394" s="1258" t="s">
        <v>2419</v>
      </c>
      <c r="H394" s="1644" t="s">
        <v>2444</v>
      </c>
      <c r="I394" s="1018"/>
    </row>
    <row r="395" spans="1:9" ht="24.75">
      <c r="A395" s="1255">
        <v>44865</v>
      </c>
      <c r="B395" s="1256" t="s">
        <v>2267</v>
      </c>
      <c r="C395" s="1257">
        <v>3040</v>
      </c>
      <c r="D395" s="1962" t="s">
        <v>2268</v>
      </c>
      <c r="E395" s="1963"/>
      <c r="F395" s="1258" t="s">
        <v>2420</v>
      </c>
      <c r="H395" s="511"/>
      <c r="I395" s="1017"/>
    </row>
    <row r="396" spans="1:9" ht="15.75" thickBot="1">
      <c r="A396" s="1279"/>
      <c r="B396" s="1129" t="s">
        <v>61</v>
      </c>
      <c r="C396" s="1130">
        <f>MEDIAN(C393:C395)</f>
        <v>5500</v>
      </c>
      <c r="D396" s="1964"/>
      <c r="E396" s="1965"/>
      <c r="F396" s="1131"/>
    </row>
    <row r="397" spans="1:9" ht="15.75" thickBot="1"/>
    <row r="398" spans="1:9" ht="25.5">
      <c r="A398" s="230" t="s">
        <v>1517</v>
      </c>
      <c r="B398" s="228" t="s">
        <v>1656</v>
      </c>
      <c r="C398" s="470" t="s">
        <v>47</v>
      </c>
      <c r="D398" s="471"/>
      <c r="E398" s="472"/>
      <c r="F398" s="473"/>
    </row>
    <row r="399" spans="1:9">
      <c r="A399" s="1957" t="s">
        <v>1658</v>
      </c>
      <c r="B399" s="1958"/>
      <c r="C399" s="1958"/>
      <c r="D399" s="1958"/>
      <c r="E399" s="1958"/>
      <c r="F399" s="1959"/>
    </row>
    <row r="400" spans="1:9" ht="30">
      <c r="A400" s="936"/>
      <c r="B400" s="946" t="s">
        <v>56</v>
      </c>
      <c r="C400" s="36" t="s">
        <v>49</v>
      </c>
      <c r="D400" s="37" t="s">
        <v>50</v>
      </c>
      <c r="E400" s="135" t="s">
        <v>62</v>
      </c>
      <c r="F400" s="937" t="s">
        <v>52</v>
      </c>
    </row>
    <row r="401" spans="1:6">
      <c r="A401" s="938">
        <v>88316</v>
      </c>
      <c r="B401" s="947" t="s">
        <v>66</v>
      </c>
      <c r="C401" s="41" t="s">
        <v>57</v>
      </c>
      <c r="D401" s="113">
        <v>2.5</v>
      </c>
      <c r="E401" s="1257">
        <v>19.45</v>
      </c>
      <c r="F401" s="939">
        <f>TRUNC((D401*E401),2)</f>
        <v>48.62</v>
      </c>
    </row>
    <row r="402" spans="1:6">
      <c r="A402" s="969"/>
      <c r="B402" s="941"/>
      <c r="C402" s="10" t="s">
        <v>42</v>
      </c>
      <c r="D402" s="42" t="s">
        <v>42</v>
      </c>
      <c r="E402" s="167" t="s">
        <v>58</v>
      </c>
      <c r="F402" s="942">
        <f>SUM(F401:F401)</f>
        <v>48.62</v>
      </c>
    </row>
    <row r="403" spans="1:6" ht="30">
      <c r="A403" s="969"/>
      <c r="B403" s="946" t="s">
        <v>95</v>
      </c>
      <c r="C403" s="36" t="s">
        <v>49</v>
      </c>
      <c r="D403" s="37" t="s">
        <v>50</v>
      </c>
      <c r="E403" s="135" t="s">
        <v>62</v>
      </c>
      <c r="F403" s="937" t="s">
        <v>52</v>
      </c>
    </row>
    <row r="404" spans="1:6">
      <c r="A404" s="192">
        <v>7253</v>
      </c>
      <c r="B404" s="98" t="s">
        <v>1659</v>
      </c>
      <c r="C404" s="41" t="s">
        <v>47</v>
      </c>
      <c r="D404" s="207">
        <v>1</v>
      </c>
      <c r="E404" s="1287">
        <v>143.57</v>
      </c>
      <c r="F404" s="939">
        <f>TRUNC((D404*E404),2)</f>
        <v>143.57</v>
      </c>
    </row>
    <row r="405" spans="1:6">
      <c r="A405" s="61"/>
      <c r="B405" s="86"/>
      <c r="C405" s="66"/>
      <c r="D405" s="87"/>
      <c r="E405" s="167" t="s">
        <v>58</v>
      </c>
      <c r="F405" s="216">
        <f>SUM(F404:F404)</f>
        <v>143.57</v>
      </c>
    </row>
    <row r="406" spans="1:6" ht="15.75" thickBot="1">
      <c r="A406" s="982"/>
      <c r="B406" s="1966" t="s">
        <v>53</v>
      </c>
      <c r="C406" s="1967"/>
      <c r="D406" s="1967"/>
      <c r="E406" s="1961"/>
      <c r="F406" s="983">
        <f>F402+F405</f>
        <v>192.19</v>
      </c>
    </row>
    <row r="407" spans="1:6" ht="15.75" thickBot="1"/>
    <row r="408" spans="1:6" ht="25.5">
      <c r="A408" s="230" t="s">
        <v>1654</v>
      </c>
      <c r="B408" s="228" t="s">
        <v>1665</v>
      </c>
      <c r="C408" s="470" t="s">
        <v>46</v>
      </c>
      <c r="D408" s="471"/>
      <c r="E408" s="472"/>
      <c r="F408" s="473"/>
    </row>
    <row r="409" spans="1:6">
      <c r="A409" s="1957" t="s">
        <v>1669</v>
      </c>
      <c r="B409" s="1958"/>
      <c r="C409" s="1958"/>
      <c r="D409" s="1958"/>
      <c r="E409" s="1958"/>
      <c r="F409" s="1959"/>
    </row>
    <row r="410" spans="1:6" ht="30">
      <c r="A410" s="936"/>
      <c r="B410" s="946" t="s">
        <v>56</v>
      </c>
      <c r="C410" s="36" t="s">
        <v>49</v>
      </c>
      <c r="D410" s="37" t="s">
        <v>50</v>
      </c>
      <c r="E410" s="135" t="s">
        <v>62</v>
      </c>
      <c r="F410" s="937" t="s">
        <v>52</v>
      </c>
    </row>
    <row r="411" spans="1:6" ht="25.5">
      <c r="A411" s="206">
        <v>88256</v>
      </c>
      <c r="B411" s="995" t="s">
        <v>1477</v>
      </c>
      <c r="C411" s="41" t="s">
        <v>57</v>
      </c>
      <c r="D411" s="113">
        <v>1.7</v>
      </c>
      <c r="E411" s="1287">
        <v>24.49</v>
      </c>
      <c r="F411" s="939">
        <f>TRUNC((D411*E411),2)</f>
        <v>41.63</v>
      </c>
    </row>
    <row r="412" spans="1:6">
      <c r="A412" s="206">
        <v>88309</v>
      </c>
      <c r="B412" s="995" t="s">
        <v>103</v>
      </c>
      <c r="C412" s="41" t="s">
        <v>57</v>
      </c>
      <c r="D412" s="113">
        <v>0.6</v>
      </c>
      <c r="E412" s="1280">
        <v>24.59</v>
      </c>
      <c r="F412" s="939">
        <f t="shared" ref="F412:F413" si="3">TRUNC((D412*E412),2)</f>
        <v>14.75</v>
      </c>
    </row>
    <row r="413" spans="1:6">
      <c r="A413" s="938">
        <v>88316</v>
      </c>
      <c r="B413" s="947" t="s">
        <v>66</v>
      </c>
      <c r="C413" s="41" t="s">
        <v>57</v>
      </c>
      <c r="D413" s="113">
        <v>1.8</v>
      </c>
      <c r="E413" s="1257">
        <v>19.45</v>
      </c>
      <c r="F413" s="939">
        <f t="shared" si="3"/>
        <v>35.01</v>
      </c>
    </row>
    <row r="414" spans="1:6">
      <c r="A414" s="969"/>
      <c r="B414" s="941"/>
      <c r="C414" s="1240" t="s">
        <v>42</v>
      </c>
      <c r="D414" s="1241" t="s">
        <v>42</v>
      </c>
      <c r="E414" s="1046" t="s">
        <v>58</v>
      </c>
      <c r="F414" s="942">
        <f>SUM(F411:F413)</f>
        <v>91.39</v>
      </c>
    </row>
    <row r="415" spans="1:6" ht="30">
      <c r="A415" s="39"/>
      <c r="B415" s="35" t="s">
        <v>95</v>
      </c>
      <c r="C415" s="36" t="s">
        <v>49</v>
      </c>
      <c r="D415" s="37" t="s">
        <v>50</v>
      </c>
      <c r="E415" s="46" t="s">
        <v>62</v>
      </c>
      <c r="F415" s="38" t="s">
        <v>52</v>
      </c>
    </row>
    <row r="416" spans="1:6" ht="25.5">
      <c r="A416" s="192">
        <v>370</v>
      </c>
      <c r="B416" s="98" t="s">
        <v>412</v>
      </c>
      <c r="C416" s="41" t="s">
        <v>47</v>
      </c>
      <c r="D416" s="297">
        <v>2.1000000000000001E-2</v>
      </c>
      <c r="E416" s="1287">
        <v>125</v>
      </c>
      <c r="F416" s="939">
        <f>TRUNC((D416*E416),2)</f>
        <v>2.62</v>
      </c>
    </row>
    <row r="417" spans="1:6">
      <c r="A417" s="192">
        <v>1106</v>
      </c>
      <c r="B417" s="98" t="s">
        <v>531</v>
      </c>
      <c r="C417" s="41" t="s">
        <v>100</v>
      </c>
      <c r="D417" s="297">
        <v>4.6399999999999997</v>
      </c>
      <c r="E417" s="1287">
        <v>0.95</v>
      </c>
      <c r="F417" s="939">
        <f t="shared" ref="F417:F421" si="4">TRUNC((D417*E417),2)</f>
        <v>4.4000000000000004</v>
      </c>
    </row>
    <row r="418" spans="1:6">
      <c r="A418" s="192">
        <v>34361</v>
      </c>
      <c r="B418" s="98" t="s">
        <v>1667</v>
      </c>
      <c r="C418" s="41" t="s">
        <v>100</v>
      </c>
      <c r="D418" s="297">
        <v>1.34</v>
      </c>
      <c r="E418" s="1287">
        <v>21.57</v>
      </c>
      <c r="F418" s="939">
        <f t="shared" si="4"/>
        <v>28.9</v>
      </c>
    </row>
    <row r="419" spans="1:6">
      <c r="A419" s="192">
        <v>13284</v>
      </c>
      <c r="B419" s="98" t="s">
        <v>2025</v>
      </c>
      <c r="C419" s="41" t="s">
        <v>100</v>
      </c>
      <c r="D419" s="207">
        <v>2.2200000000000002</v>
      </c>
      <c r="E419" s="1287">
        <v>0.95</v>
      </c>
      <c r="F419" s="939">
        <f t="shared" si="4"/>
        <v>2.1</v>
      </c>
    </row>
    <row r="420" spans="1:6">
      <c r="A420" s="192">
        <v>1380</v>
      </c>
      <c r="B420" s="98" t="s">
        <v>1668</v>
      </c>
      <c r="C420" s="41" t="s">
        <v>100</v>
      </c>
      <c r="D420" s="207">
        <v>2.5</v>
      </c>
      <c r="E420" s="1287">
        <v>2.95</v>
      </c>
      <c r="F420" s="939">
        <f t="shared" si="4"/>
        <v>7.37</v>
      </c>
    </row>
    <row r="421" spans="1:6" ht="38.25">
      <c r="A421" s="192">
        <v>11795</v>
      </c>
      <c r="B421" s="98" t="s">
        <v>1666</v>
      </c>
      <c r="C421" s="41" t="s">
        <v>46</v>
      </c>
      <c r="D421" s="207">
        <v>1.05</v>
      </c>
      <c r="E421" s="1287">
        <v>830.18</v>
      </c>
      <c r="F421" s="939">
        <f t="shared" si="4"/>
        <v>871.68</v>
      </c>
    </row>
    <row r="422" spans="1:6" ht="15.75" thickBot="1">
      <c r="A422" s="100"/>
      <c r="B422" s="1010"/>
      <c r="C422" s="52"/>
      <c r="D422" s="1011"/>
      <c r="E422" s="1012" t="s">
        <v>58</v>
      </c>
      <c r="F422" s="1013">
        <f>SUM(F416:F421)</f>
        <v>917.06999999999994</v>
      </c>
    </row>
    <row r="423" spans="1:6" ht="15.75" thickBot="1">
      <c r="A423" s="982"/>
      <c r="B423" s="1960" t="s">
        <v>53</v>
      </c>
      <c r="C423" s="1961"/>
      <c r="D423" s="1961"/>
      <c r="E423" s="1961"/>
      <c r="F423" s="983">
        <f>F414+F422</f>
        <v>1008.4599999999999</v>
      </c>
    </row>
    <row r="424" spans="1:6" ht="15.75" thickBot="1"/>
    <row r="425" spans="1:6" ht="25.5">
      <c r="A425" s="230" t="s">
        <v>1655</v>
      </c>
      <c r="B425" s="187" t="s">
        <v>2023</v>
      </c>
      <c r="C425" s="71" t="s">
        <v>46</v>
      </c>
      <c r="D425" s="72"/>
      <c r="E425" s="73"/>
      <c r="F425" s="124"/>
    </row>
    <row r="426" spans="1:6">
      <c r="A426" s="1946" t="s">
        <v>2024</v>
      </c>
      <c r="B426" s="1947"/>
      <c r="C426" s="1947"/>
      <c r="D426" s="1947"/>
      <c r="E426" s="1947"/>
      <c r="F426" s="1948"/>
    </row>
    <row r="427" spans="1:6" ht="30">
      <c r="A427" s="936"/>
      <c r="B427" s="946" t="s">
        <v>56</v>
      </c>
      <c r="C427" s="36" t="s">
        <v>49</v>
      </c>
      <c r="D427" s="37" t="s">
        <v>50</v>
      </c>
      <c r="E427" s="46" t="s">
        <v>62</v>
      </c>
      <c r="F427" s="937" t="s">
        <v>52</v>
      </c>
    </row>
    <row r="428" spans="1:6">
      <c r="A428" s="938">
        <v>88316</v>
      </c>
      <c r="B428" s="947" t="s">
        <v>66</v>
      </c>
      <c r="C428" s="41" t="s">
        <v>57</v>
      </c>
      <c r="D428" s="114">
        <v>3.3330000000000002</v>
      </c>
      <c r="E428" s="1257">
        <v>19.45</v>
      </c>
      <c r="F428" s="939">
        <f>TRUNC((D428*E428),2)</f>
        <v>64.819999999999993</v>
      </c>
    </row>
    <row r="429" spans="1:6">
      <c r="A429" s="206">
        <v>88309</v>
      </c>
      <c r="B429" s="995" t="s">
        <v>103</v>
      </c>
      <c r="C429" s="41" t="s">
        <v>57</v>
      </c>
      <c r="D429" s="114">
        <v>3.3330000000000002</v>
      </c>
      <c r="E429" s="1280">
        <v>24.59</v>
      </c>
      <c r="F429" s="939">
        <f>TRUNC((D429*E429),2)</f>
        <v>81.95</v>
      </c>
    </row>
    <row r="430" spans="1:6">
      <c r="A430" s="940"/>
      <c r="B430" s="941"/>
      <c r="C430" s="10" t="s">
        <v>42</v>
      </c>
      <c r="D430" s="42" t="s">
        <v>42</v>
      </c>
      <c r="E430" s="167" t="s">
        <v>58</v>
      </c>
      <c r="F430" s="942">
        <f>SUM(F428:F429)</f>
        <v>146.76999999999998</v>
      </c>
    </row>
    <row r="431" spans="1:6" ht="30">
      <c r="A431" s="206"/>
      <c r="B431" s="35" t="s">
        <v>95</v>
      </c>
      <c r="C431" s="36" t="s">
        <v>49</v>
      </c>
      <c r="D431" s="37" t="s">
        <v>50</v>
      </c>
      <c r="E431" s="46" t="s">
        <v>62</v>
      </c>
      <c r="F431" s="38" t="s">
        <v>52</v>
      </c>
    </row>
    <row r="432" spans="1:6" ht="38.25">
      <c r="A432" s="943">
        <v>11795</v>
      </c>
      <c r="B432" s="211" t="s">
        <v>565</v>
      </c>
      <c r="C432" s="948" t="s">
        <v>46</v>
      </c>
      <c r="D432" s="114">
        <v>1</v>
      </c>
      <c r="E432" s="1287">
        <v>830.18</v>
      </c>
      <c r="F432" s="939">
        <f>TRUNC((D432*E432),2)</f>
        <v>830.18</v>
      </c>
    </row>
    <row r="433" spans="1:6" ht="25.5">
      <c r="A433" s="192">
        <v>370</v>
      </c>
      <c r="B433" s="98" t="s">
        <v>412</v>
      </c>
      <c r="C433" s="41" t="s">
        <v>47</v>
      </c>
      <c r="D433" s="114">
        <v>8.6999999999999994E-3</v>
      </c>
      <c r="E433" s="1287">
        <v>125</v>
      </c>
      <c r="F433" s="939">
        <f>TRUNC((D433*E433),2)</f>
        <v>1.08</v>
      </c>
    </row>
    <row r="434" spans="1:6">
      <c r="A434" s="192">
        <v>13284</v>
      </c>
      <c r="B434" s="98" t="s">
        <v>2025</v>
      </c>
      <c r="C434" s="41" t="s">
        <v>100</v>
      </c>
      <c r="D434" s="114">
        <v>1.54E-2</v>
      </c>
      <c r="E434" s="1287">
        <v>0.95</v>
      </c>
      <c r="F434" s="939">
        <f>ROUNDUP((D434*E434),2)</f>
        <v>0.02</v>
      </c>
    </row>
    <row r="435" spans="1:6" ht="15.75" thickBot="1">
      <c r="A435" s="100"/>
      <c r="B435" s="92"/>
      <c r="C435" s="93"/>
      <c r="D435" s="115"/>
      <c r="E435" s="116" t="s">
        <v>58</v>
      </c>
      <c r="F435" s="298">
        <f>SUM(F432:F434)</f>
        <v>831.28</v>
      </c>
    </row>
    <row r="436" spans="1:6" ht="15.75" thickBot="1">
      <c r="A436" s="84"/>
      <c r="B436" s="1949" t="s">
        <v>53</v>
      </c>
      <c r="C436" s="1949"/>
      <c r="D436" s="1949"/>
      <c r="E436" s="1949"/>
      <c r="F436" s="299">
        <f>F430+F435</f>
        <v>978.05</v>
      </c>
    </row>
    <row r="437" spans="1:6" ht="15.75" thickBot="1">
      <c r="A437" s="543"/>
      <c r="B437" s="438"/>
      <c r="C437" s="168"/>
      <c r="D437" s="635"/>
      <c r="E437" s="602"/>
      <c r="F437" s="636"/>
    </row>
    <row r="438" spans="1:6" ht="25.5">
      <c r="A438" s="70" t="s">
        <v>1664</v>
      </c>
      <c r="B438" s="187" t="s">
        <v>1646</v>
      </c>
      <c r="C438" s="71" t="s">
        <v>54</v>
      </c>
      <c r="D438" s="72"/>
      <c r="E438" s="73"/>
      <c r="F438" s="124"/>
    </row>
    <row r="439" spans="1:6">
      <c r="A439" s="1946" t="s">
        <v>567</v>
      </c>
      <c r="B439" s="1947"/>
      <c r="C439" s="1947"/>
      <c r="D439" s="1947"/>
      <c r="E439" s="1947"/>
      <c r="F439" s="1948"/>
    </row>
    <row r="440" spans="1:6" ht="30">
      <c r="A440" s="936"/>
      <c r="B440" s="1014" t="s">
        <v>56</v>
      </c>
      <c r="C440" s="36" t="s">
        <v>49</v>
      </c>
      <c r="D440" s="37" t="s">
        <v>50</v>
      </c>
      <c r="E440" s="46" t="s">
        <v>62</v>
      </c>
      <c r="F440" s="937" t="s">
        <v>52</v>
      </c>
    </row>
    <row r="441" spans="1:6">
      <c r="A441" s="938">
        <v>88316</v>
      </c>
      <c r="B441" s="995" t="s">
        <v>66</v>
      </c>
      <c r="C441" s="41" t="s">
        <v>57</v>
      </c>
      <c r="D441" s="111">
        <v>0.2</v>
      </c>
      <c r="E441" s="1257">
        <v>19.45</v>
      </c>
      <c r="F441" s="939">
        <f>TRUNC((D441*E441),2)</f>
        <v>3.89</v>
      </c>
    </row>
    <row r="442" spans="1:6">
      <c r="A442" s="61">
        <v>88309</v>
      </c>
      <c r="B442" s="43" t="s">
        <v>103</v>
      </c>
      <c r="C442" s="41" t="s">
        <v>57</v>
      </c>
      <c r="D442" s="111">
        <v>0.2</v>
      </c>
      <c r="E442" s="1280">
        <v>24.59</v>
      </c>
      <c r="F442" s="939">
        <f>TRUNC((D442*E442),2)</f>
        <v>4.91</v>
      </c>
    </row>
    <row r="443" spans="1:6">
      <c r="A443" s="940"/>
      <c r="B443" s="941"/>
      <c r="C443" s="10" t="s">
        <v>42</v>
      </c>
      <c r="D443" s="42" t="s">
        <v>42</v>
      </c>
      <c r="E443" s="167" t="s">
        <v>58</v>
      </c>
      <c r="F443" s="942">
        <f>SUM(F441:F442)</f>
        <v>8.8000000000000007</v>
      </c>
    </row>
    <row r="444" spans="1:6" ht="30">
      <c r="A444" s="206"/>
      <c r="B444" s="637" t="s">
        <v>95</v>
      </c>
      <c r="C444" s="36" t="s">
        <v>49</v>
      </c>
      <c r="D444" s="37" t="s">
        <v>50</v>
      </c>
      <c r="E444" s="46" t="s">
        <v>62</v>
      </c>
      <c r="F444" s="38" t="s">
        <v>52</v>
      </c>
    </row>
    <row r="445" spans="1:6">
      <c r="A445" s="943">
        <v>37329</v>
      </c>
      <c r="B445" s="1220" t="s">
        <v>566</v>
      </c>
      <c r="C445" s="41" t="s">
        <v>47</v>
      </c>
      <c r="D445" s="114">
        <v>0.1</v>
      </c>
      <c r="E445" s="1287">
        <v>123.67</v>
      </c>
      <c r="F445" s="939">
        <f>TRUNC((D445*E445),2)</f>
        <v>12.36</v>
      </c>
    </row>
    <row r="446" spans="1:6" ht="15.75" thickBot="1">
      <c r="A446" s="1138">
        <v>37595</v>
      </c>
      <c r="B446" s="971" t="s">
        <v>568</v>
      </c>
      <c r="C446" s="972" t="s">
        <v>100</v>
      </c>
      <c r="D446" s="1242">
        <v>0.5</v>
      </c>
      <c r="E446" s="1288">
        <v>3.07</v>
      </c>
      <c r="F446" s="975">
        <f>TRUNC((D446*E446),2)</f>
        <v>1.53</v>
      </c>
    </row>
    <row r="447" spans="1:6" ht="38.25">
      <c r="A447" s="1243">
        <v>20231</v>
      </c>
      <c r="B447" s="1244" t="s">
        <v>569</v>
      </c>
      <c r="C447" s="978" t="s">
        <v>54</v>
      </c>
      <c r="D447" s="997">
        <v>1</v>
      </c>
      <c r="E447" s="980">
        <v>81.86</v>
      </c>
      <c r="F447" s="990">
        <f>TRUNC((D447*E447),2)</f>
        <v>81.86</v>
      </c>
    </row>
    <row r="448" spans="1:6" ht="15.75" thickBot="1">
      <c r="A448" s="100"/>
      <c r="B448" s="92"/>
      <c r="C448" s="93"/>
      <c r="D448" s="115"/>
      <c r="E448" s="116" t="s">
        <v>58</v>
      </c>
      <c r="F448" s="298">
        <f>SUM(F445:F447)</f>
        <v>95.75</v>
      </c>
    </row>
    <row r="449" spans="1:6" ht="15.75" thickBot="1">
      <c r="A449" s="84"/>
      <c r="B449" s="1949" t="s">
        <v>53</v>
      </c>
      <c r="C449" s="1949"/>
      <c r="D449" s="1949"/>
      <c r="E449" s="1949"/>
      <c r="F449" s="299">
        <f>F443+F448</f>
        <v>104.55</v>
      </c>
    </row>
    <row r="450" spans="1:6" ht="15.75" thickBot="1">
      <c r="A450" s="301"/>
      <c r="B450" s="302"/>
      <c r="C450" s="303"/>
      <c r="D450" s="219"/>
      <c r="E450" s="219"/>
      <c r="F450" s="304"/>
    </row>
    <row r="451" spans="1:6" ht="25.5">
      <c r="A451" s="70" t="s">
        <v>2022</v>
      </c>
      <c r="B451" s="187" t="s">
        <v>2032</v>
      </c>
      <c r="C451" s="71" t="s">
        <v>46</v>
      </c>
      <c r="D451" s="72"/>
      <c r="E451" s="73"/>
      <c r="F451" s="124"/>
    </row>
    <row r="452" spans="1:6" ht="15.75" thickBot="1">
      <c r="A452" s="1954" t="s">
        <v>2033</v>
      </c>
      <c r="B452" s="1955"/>
      <c r="C452" s="1955"/>
      <c r="D452" s="1955"/>
      <c r="E452" s="1955"/>
      <c r="F452" s="1956"/>
    </row>
    <row r="453" spans="1:6" ht="30">
      <c r="A453" s="1239"/>
      <c r="B453" s="1245" t="s">
        <v>56</v>
      </c>
      <c r="C453" s="1019" t="s">
        <v>49</v>
      </c>
      <c r="D453" s="1020" t="s">
        <v>50</v>
      </c>
      <c r="E453" s="1021" t="s">
        <v>62</v>
      </c>
      <c r="F453" s="994" t="s">
        <v>52</v>
      </c>
    </row>
    <row r="454" spans="1:6">
      <c r="A454" s="938">
        <v>88316</v>
      </c>
      <c r="B454" s="995" t="s">
        <v>66</v>
      </c>
      <c r="C454" s="41" t="s">
        <v>57</v>
      </c>
      <c r="D454" s="111">
        <v>2</v>
      </c>
      <c r="E454" s="1257">
        <v>19.45</v>
      </c>
      <c r="F454" s="939">
        <f>TRUNC((D454*E454),2)</f>
        <v>38.9</v>
      </c>
    </row>
    <row r="455" spans="1:6">
      <c r="A455" s="61">
        <v>88309</v>
      </c>
      <c r="B455" s="43" t="s">
        <v>103</v>
      </c>
      <c r="C455" s="41" t="s">
        <v>57</v>
      </c>
      <c r="D455" s="111">
        <v>2</v>
      </c>
      <c r="E455" s="1280">
        <v>24.59</v>
      </c>
      <c r="F455" s="939">
        <f>TRUNC((D455*E455),2)</f>
        <v>49.18</v>
      </c>
    </row>
    <row r="456" spans="1:6">
      <c r="A456" s="940"/>
      <c r="B456" s="941"/>
      <c r="C456" s="10" t="s">
        <v>42</v>
      </c>
      <c r="D456" s="42" t="s">
        <v>42</v>
      </c>
      <c r="E456" s="167" t="s">
        <v>58</v>
      </c>
      <c r="F456" s="942">
        <f>SUM(F454:F455)</f>
        <v>88.08</v>
      </c>
    </row>
    <row r="457" spans="1:6" ht="30">
      <c r="A457" s="206"/>
      <c r="B457" s="637" t="s">
        <v>95</v>
      </c>
      <c r="C457" s="36" t="s">
        <v>49</v>
      </c>
      <c r="D457" s="37" t="s">
        <v>50</v>
      </c>
      <c r="E457" s="46" t="s">
        <v>62</v>
      </c>
      <c r="F457" s="38" t="s">
        <v>52</v>
      </c>
    </row>
    <row r="458" spans="1:6" ht="38.25">
      <c r="A458" s="943">
        <v>102486</v>
      </c>
      <c r="B458" s="98" t="s">
        <v>2034</v>
      </c>
      <c r="C458" s="41" t="s">
        <v>47</v>
      </c>
      <c r="D458" s="114">
        <v>7.0000000000000007E-2</v>
      </c>
      <c r="E458" s="1287">
        <v>707.32</v>
      </c>
      <c r="F458" s="939">
        <f>TRUNC((D458*E458),2)</f>
        <v>49.51</v>
      </c>
    </row>
    <row r="459" spans="1:6" ht="38.25">
      <c r="A459" s="943">
        <v>103670</v>
      </c>
      <c r="B459" s="98" t="s">
        <v>2231</v>
      </c>
      <c r="C459" s="41" t="s">
        <v>47</v>
      </c>
      <c r="D459" s="114">
        <v>7.0000000000000007E-2</v>
      </c>
      <c r="E459" s="1287">
        <v>266.11</v>
      </c>
      <c r="F459" s="939">
        <f t="shared" ref="F459:F461" si="5">TRUNC((D459*E459),2)</f>
        <v>18.62</v>
      </c>
    </row>
    <row r="460" spans="1:6" ht="38.25">
      <c r="A460" s="943">
        <v>96536</v>
      </c>
      <c r="B460" s="98" t="s">
        <v>423</v>
      </c>
      <c r="C460" s="948" t="s">
        <v>46</v>
      </c>
      <c r="D460" s="114">
        <v>1.67</v>
      </c>
      <c r="E460" s="1287">
        <v>75.89</v>
      </c>
      <c r="F460" s="939">
        <f t="shared" si="5"/>
        <v>126.73</v>
      </c>
    </row>
    <row r="461" spans="1:6" ht="25.5">
      <c r="A461" s="943">
        <v>92803</v>
      </c>
      <c r="B461" s="98" t="s">
        <v>2232</v>
      </c>
      <c r="C461" s="41" t="s">
        <v>100</v>
      </c>
      <c r="D461" s="114">
        <v>4.4000000000000004</v>
      </c>
      <c r="E461" s="1287">
        <v>12.06</v>
      </c>
      <c r="F461" s="939">
        <f t="shared" si="5"/>
        <v>53.06</v>
      </c>
    </row>
    <row r="462" spans="1:6">
      <c r="A462" s="1015">
        <v>345</v>
      </c>
      <c r="B462" s="98" t="s">
        <v>2035</v>
      </c>
      <c r="C462" s="41" t="s">
        <v>100</v>
      </c>
      <c r="D462" s="114">
        <v>0.1</v>
      </c>
      <c r="E462" s="1287">
        <v>35.51</v>
      </c>
      <c r="F462" s="939">
        <f>TRUNC((D462*E462),2)</f>
        <v>3.55</v>
      </c>
    </row>
    <row r="463" spans="1:6" ht="15.75" thickBot="1">
      <c r="A463" s="100"/>
      <c r="B463" s="92"/>
      <c r="C463" s="93"/>
      <c r="D463" s="115"/>
      <c r="E463" s="116" t="s">
        <v>58</v>
      </c>
      <c r="F463" s="298">
        <f>SUM(F458:F462)</f>
        <v>251.47000000000003</v>
      </c>
    </row>
    <row r="464" spans="1:6" ht="15.75" thickBot="1">
      <c r="A464" s="84"/>
      <c r="B464" s="1949" t="s">
        <v>53</v>
      </c>
      <c r="C464" s="1949"/>
      <c r="D464" s="1949"/>
      <c r="E464" s="1949"/>
      <c r="F464" s="299">
        <f>F456+F463</f>
        <v>339.55</v>
      </c>
    </row>
    <row r="465" spans="1:6" ht="15.75" thickBot="1">
      <c r="A465" s="301"/>
      <c r="B465" s="302"/>
      <c r="C465" s="303"/>
      <c r="D465" s="219"/>
      <c r="E465" s="219"/>
      <c r="F465" s="304"/>
    </row>
    <row r="466" spans="1:6">
      <c r="A466" s="70" t="s">
        <v>2028</v>
      </c>
      <c r="B466" s="187" t="s">
        <v>2079</v>
      </c>
      <c r="C466" s="71" t="s">
        <v>46</v>
      </c>
      <c r="D466" s="72"/>
      <c r="E466" s="73"/>
      <c r="F466" s="124"/>
    </row>
    <row r="467" spans="1:6">
      <c r="A467" s="1946" t="s">
        <v>2078</v>
      </c>
      <c r="B467" s="1947"/>
      <c r="C467" s="1947"/>
      <c r="D467" s="1947"/>
      <c r="E467" s="1947"/>
      <c r="F467" s="1948"/>
    </row>
    <row r="468" spans="1:6" ht="30">
      <c r="A468" s="936"/>
      <c r="B468" s="1014" t="s">
        <v>56</v>
      </c>
      <c r="C468" s="36" t="s">
        <v>49</v>
      </c>
      <c r="D468" s="37" t="s">
        <v>50</v>
      </c>
      <c r="E468" s="46" t="s">
        <v>62</v>
      </c>
      <c r="F468" s="937" t="s">
        <v>52</v>
      </c>
    </row>
    <row r="469" spans="1:6">
      <c r="A469" s="61">
        <v>88309</v>
      </c>
      <c r="B469" s="43" t="s">
        <v>103</v>
      </c>
      <c r="C469" s="41" t="s">
        <v>57</v>
      </c>
      <c r="D469" s="113">
        <v>0.113</v>
      </c>
      <c r="E469" s="1280">
        <v>24.59</v>
      </c>
      <c r="F469" s="939">
        <f>TRUNC((D469*E469),2)</f>
        <v>2.77</v>
      </c>
    </row>
    <row r="470" spans="1:6">
      <c r="A470" s="938">
        <v>88316</v>
      </c>
      <c r="B470" s="995" t="s">
        <v>66</v>
      </c>
      <c r="C470" s="41" t="s">
        <v>57</v>
      </c>
      <c r="D470" s="113">
        <v>3.61E-2</v>
      </c>
      <c r="E470" s="1257">
        <v>19.45</v>
      </c>
      <c r="F470" s="939">
        <f>TRUNC((D470*E470),2)</f>
        <v>0.7</v>
      </c>
    </row>
    <row r="471" spans="1:6">
      <c r="A471" s="940"/>
      <c r="B471" s="941"/>
      <c r="C471" s="10" t="s">
        <v>42</v>
      </c>
      <c r="D471" s="42" t="s">
        <v>42</v>
      </c>
      <c r="E471" s="167" t="s">
        <v>58</v>
      </c>
      <c r="F471" s="942">
        <f>SUM(F469:F470)</f>
        <v>3.4699999999999998</v>
      </c>
    </row>
    <row r="472" spans="1:6" ht="30">
      <c r="A472" s="206"/>
      <c r="B472" s="637" t="s">
        <v>95</v>
      </c>
      <c r="C472" s="36" t="s">
        <v>49</v>
      </c>
      <c r="D472" s="37" t="s">
        <v>50</v>
      </c>
      <c r="E472" s="46" t="s">
        <v>62</v>
      </c>
      <c r="F472" s="38" t="s">
        <v>52</v>
      </c>
    </row>
    <row r="473" spans="1:6" ht="25.5">
      <c r="A473" s="943">
        <v>7334</v>
      </c>
      <c r="B473" s="98" t="s">
        <v>2080</v>
      </c>
      <c r="C473" s="1246" t="s">
        <v>455</v>
      </c>
      <c r="D473" s="114">
        <v>0.2</v>
      </c>
      <c r="E473" s="1287">
        <v>21.98</v>
      </c>
      <c r="F473" s="939">
        <f>TRUNC((D473*E473),2)</f>
        <v>4.3899999999999997</v>
      </c>
    </row>
    <row r="474" spans="1:6" ht="38.25">
      <c r="A474" s="943">
        <v>38546</v>
      </c>
      <c r="B474" s="98" t="s">
        <v>2081</v>
      </c>
      <c r="C474" s="948" t="s">
        <v>47</v>
      </c>
      <c r="D474" s="113">
        <v>3.1199999999999999E-2</v>
      </c>
      <c r="E474" s="1287">
        <v>642.23</v>
      </c>
      <c r="F474" s="939">
        <f>TRUNC((D474*E474),2)</f>
        <v>20.03</v>
      </c>
    </row>
    <row r="475" spans="1:6" ht="15.75" thickBot="1">
      <c r="A475" s="100"/>
      <c r="B475" s="92"/>
      <c r="C475" s="93"/>
      <c r="D475" s="115"/>
      <c r="E475" s="116" t="s">
        <v>58</v>
      </c>
      <c r="F475" s="298">
        <f>SUM(F473:F474)</f>
        <v>24.42</v>
      </c>
    </row>
    <row r="476" spans="1:6" ht="15.75" thickBot="1">
      <c r="A476" s="84"/>
      <c r="B476" s="1949" t="s">
        <v>53</v>
      </c>
      <c r="C476" s="1949"/>
      <c r="D476" s="1949"/>
      <c r="E476" s="1949"/>
      <c r="F476" s="299">
        <f>F471+F475</f>
        <v>27.89</v>
      </c>
    </row>
    <row r="477" spans="1:6" ht="15.75" thickBot="1">
      <c r="A477" s="300"/>
      <c r="B477" s="934"/>
      <c r="C477" s="934"/>
      <c r="D477" s="934"/>
      <c r="E477" s="934"/>
      <c r="F477" s="935"/>
    </row>
    <row r="478" spans="1:6" ht="63.75">
      <c r="A478" s="70" t="s">
        <v>2029</v>
      </c>
      <c r="B478" s="187" t="s">
        <v>159</v>
      </c>
      <c r="C478" s="71" t="s">
        <v>46</v>
      </c>
      <c r="D478" s="72"/>
      <c r="E478" s="73"/>
      <c r="F478" s="124"/>
    </row>
    <row r="479" spans="1:6">
      <c r="A479" s="1946" t="s">
        <v>571</v>
      </c>
      <c r="B479" s="1947"/>
      <c r="C479" s="1947"/>
      <c r="D479" s="1947"/>
      <c r="E479" s="1947"/>
      <c r="F479" s="1948"/>
    </row>
    <row r="480" spans="1:6" ht="30">
      <c r="A480" s="936"/>
      <c r="B480" s="946" t="s">
        <v>56</v>
      </c>
      <c r="C480" s="36" t="s">
        <v>49</v>
      </c>
      <c r="D480" s="37" t="s">
        <v>50</v>
      </c>
      <c r="E480" s="46" t="s">
        <v>62</v>
      </c>
      <c r="F480" s="937" t="s">
        <v>52</v>
      </c>
    </row>
    <row r="481" spans="1:6">
      <c r="A481" s="938">
        <v>88316</v>
      </c>
      <c r="B481" s="947" t="s">
        <v>66</v>
      </c>
      <c r="C481" s="41" t="s">
        <v>57</v>
      </c>
      <c r="D481" s="114">
        <v>6.2E-2</v>
      </c>
      <c r="E481" s="1257">
        <v>19.45</v>
      </c>
      <c r="F481" s="939">
        <f>TRUNC((D481*E481),2)</f>
        <v>1.2</v>
      </c>
    </row>
    <row r="482" spans="1:6">
      <c r="A482" s="938">
        <v>88323</v>
      </c>
      <c r="B482" s="211" t="s">
        <v>572</v>
      </c>
      <c r="C482" s="41" t="s">
        <v>57</v>
      </c>
      <c r="D482" s="114">
        <v>5.6000000000000001E-2</v>
      </c>
      <c r="E482" s="1257">
        <v>24.07</v>
      </c>
      <c r="F482" s="939">
        <f>TRUNC((D482*E482),2)</f>
        <v>1.34</v>
      </c>
    </row>
    <row r="483" spans="1:6">
      <c r="A483" s="940"/>
      <c r="B483" s="941"/>
      <c r="C483" s="10" t="s">
        <v>42</v>
      </c>
      <c r="D483" s="42" t="s">
        <v>42</v>
      </c>
      <c r="E483" s="167" t="s">
        <v>58</v>
      </c>
      <c r="F483" s="942">
        <f>SUM(F481:F482)</f>
        <v>2.54</v>
      </c>
    </row>
    <row r="484" spans="1:6" ht="30">
      <c r="A484" s="206"/>
      <c r="B484" s="35" t="s">
        <v>95</v>
      </c>
      <c r="C484" s="36" t="s">
        <v>49</v>
      </c>
      <c r="D484" s="37" t="s">
        <v>50</v>
      </c>
      <c r="E484" s="46" t="s">
        <v>62</v>
      </c>
      <c r="F484" s="38" t="s">
        <v>52</v>
      </c>
    </row>
    <row r="485" spans="1:6" ht="38.25">
      <c r="A485" s="943">
        <v>11029</v>
      </c>
      <c r="B485" s="211" t="s">
        <v>573</v>
      </c>
      <c r="C485" s="948" t="s">
        <v>574</v>
      </c>
      <c r="D485" s="114">
        <v>4.1500000000000004</v>
      </c>
      <c r="E485" s="1287">
        <v>1.96</v>
      </c>
      <c r="F485" s="939">
        <f>TRUNC((D485*E485),2)</f>
        <v>8.1300000000000008</v>
      </c>
    </row>
    <row r="486" spans="1:6" ht="38.25">
      <c r="A486" s="943">
        <v>93281</v>
      </c>
      <c r="B486" s="211" t="s">
        <v>575</v>
      </c>
      <c r="C486" s="948" t="s">
        <v>456</v>
      </c>
      <c r="D486" s="113">
        <v>8.9999999999999998E-4</v>
      </c>
      <c r="E486" s="1287">
        <v>19.510000000000002</v>
      </c>
      <c r="F486" s="939">
        <f>TRUNC((D486*E486),2)</f>
        <v>0.01</v>
      </c>
    </row>
    <row r="487" spans="1:6" ht="38.25">
      <c r="A487" s="943">
        <v>93282</v>
      </c>
      <c r="B487" s="211" t="s">
        <v>576</v>
      </c>
      <c r="C487" s="948" t="s">
        <v>577</v>
      </c>
      <c r="D487" s="113">
        <v>1.1999999999999999E-3</v>
      </c>
      <c r="E487" s="1287">
        <v>18.32</v>
      </c>
      <c r="F487" s="939">
        <f>TRUNC((D487*E487),2)</f>
        <v>0.02</v>
      </c>
    </row>
    <row r="488" spans="1:6" ht="63.75">
      <c r="A488" s="69">
        <v>39520</v>
      </c>
      <c r="B488" s="949" t="s">
        <v>158</v>
      </c>
      <c r="C488" s="948" t="s">
        <v>46</v>
      </c>
      <c r="D488" s="114">
        <v>1.1399999999999999</v>
      </c>
      <c r="E488" s="1287">
        <v>139.55000000000001</v>
      </c>
      <c r="F488" s="939">
        <f>TRUNC((D488*E488),2)</f>
        <v>159.08000000000001</v>
      </c>
    </row>
    <row r="489" spans="1:6" ht="15.75" thickBot="1">
      <c r="A489" s="55"/>
      <c r="B489" s="92"/>
      <c r="C489" s="93"/>
      <c r="D489" s="115"/>
      <c r="E489" s="116" t="s">
        <v>58</v>
      </c>
      <c r="F489" s="298">
        <f>SUM(F485:F488)</f>
        <v>167.24</v>
      </c>
    </row>
    <row r="490" spans="1:6" ht="15.75" thickBot="1">
      <c r="A490" s="84"/>
      <c r="B490" s="1949" t="s">
        <v>53</v>
      </c>
      <c r="C490" s="1949"/>
      <c r="D490" s="1949"/>
      <c r="E490" s="1949"/>
      <c r="F490" s="299">
        <f>F483+F489</f>
        <v>169.78</v>
      </c>
    </row>
    <row r="491" spans="1:6" ht="12.75" customHeight="1" thickBot="1">
      <c r="A491" s="364"/>
      <c r="B491" s="365"/>
      <c r="C491" s="366"/>
      <c r="D491" s="367"/>
      <c r="E491" s="367"/>
      <c r="F491" s="364"/>
    </row>
    <row r="492" spans="1:6">
      <c r="A492" s="70" t="s">
        <v>2453</v>
      </c>
      <c r="B492" s="187" t="s">
        <v>2454</v>
      </c>
      <c r="C492" s="71" t="s">
        <v>55</v>
      </c>
      <c r="D492" s="72"/>
      <c r="E492" s="73"/>
      <c r="F492" s="124"/>
    </row>
    <row r="493" spans="1:6">
      <c r="A493" s="1946" t="s">
        <v>2456</v>
      </c>
      <c r="B493" s="1947"/>
      <c r="C493" s="1947"/>
      <c r="D493" s="1947"/>
      <c r="E493" s="1947"/>
      <c r="F493" s="1948"/>
    </row>
    <row r="494" spans="1:6" ht="30">
      <c r="A494" s="936"/>
      <c r="B494" s="1014" t="s">
        <v>56</v>
      </c>
      <c r="C494" s="36" t="s">
        <v>49</v>
      </c>
      <c r="D494" s="37" t="s">
        <v>50</v>
      </c>
      <c r="E494" s="46" t="s">
        <v>62</v>
      </c>
      <c r="F494" s="937" t="s">
        <v>52</v>
      </c>
    </row>
    <row r="495" spans="1:6">
      <c r="A495" s="61">
        <v>88309</v>
      </c>
      <c r="B495" s="43" t="s">
        <v>103</v>
      </c>
      <c r="C495" s="41" t="s">
        <v>57</v>
      </c>
      <c r="D495" s="113">
        <v>0.25</v>
      </c>
      <c r="E495" s="1763">
        <v>24.59</v>
      </c>
      <c r="F495" s="939">
        <f>TRUNC((D495*E495),2)</f>
        <v>6.14</v>
      </c>
    </row>
    <row r="496" spans="1:6">
      <c r="A496" s="940"/>
      <c r="B496" s="941"/>
      <c r="C496" s="10" t="s">
        <v>42</v>
      </c>
      <c r="D496" s="42" t="s">
        <v>42</v>
      </c>
      <c r="E496" s="167" t="s">
        <v>58</v>
      </c>
      <c r="F496" s="942">
        <f>SUM(F495:F495)</f>
        <v>6.14</v>
      </c>
    </row>
    <row r="497" spans="1:6" ht="30">
      <c r="A497" s="206"/>
      <c r="B497" s="637" t="s">
        <v>95</v>
      </c>
      <c r="C497" s="36" t="s">
        <v>49</v>
      </c>
      <c r="D497" s="37" t="s">
        <v>50</v>
      </c>
      <c r="E497" s="46" t="s">
        <v>62</v>
      </c>
      <c r="F497" s="38" t="s">
        <v>52</v>
      </c>
    </row>
    <row r="498" spans="1:6">
      <c r="A498" s="943">
        <v>10848</v>
      </c>
      <c r="B498" s="1510" t="s">
        <v>2455</v>
      </c>
      <c r="C498" s="1246" t="s">
        <v>55</v>
      </c>
      <c r="D498" s="114">
        <v>1</v>
      </c>
      <c r="E498" s="1287">
        <v>1206.01</v>
      </c>
      <c r="F498" s="939">
        <f>TRUNC((D498*E498),2)</f>
        <v>1206.01</v>
      </c>
    </row>
    <row r="499" spans="1:6" ht="38.25">
      <c r="A499" s="943">
        <v>11950</v>
      </c>
      <c r="B499" s="98" t="s">
        <v>2168</v>
      </c>
      <c r="C499" s="1246" t="s">
        <v>55</v>
      </c>
      <c r="D499" s="113">
        <v>4</v>
      </c>
      <c r="E499" s="1287">
        <v>0.2</v>
      </c>
      <c r="F499" s="939">
        <f>TRUNC((D499*E499),2)</f>
        <v>0.8</v>
      </c>
    </row>
    <row r="500" spans="1:6" ht="15.75" thickBot="1">
      <c r="A500" s="100"/>
      <c r="B500" s="92"/>
      <c r="C500" s="93"/>
      <c r="D500" s="115"/>
      <c r="E500" s="116" t="s">
        <v>58</v>
      </c>
      <c r="F500" s="298">
        <f>SUM(F498:F499)</f>
        <v>1206.81</v>
      </c>
    </row>
    <row r="501" spans="1:6" ht="15.75" thickBot="1">
      <c r="A501" s="84"/>
      <c r="B501" s="1949" t="s">
        <v>53</v>
      </c>
      <c r="C501" s="1949"/>
      <c r="D501" s="1949"/>
      <c r="E501" s="1949"/>
      <c r="F501" s="299">
        <f>F496+F500</f>
        <v>1212.95</v>
      </c>
    </row>
  </sheetData>
  <mergeCells count="153">
    <mergeCell ref="A13:F13"/>
    <mergeCell ref="B20:E20"/>
    <mergeCell ref="B21:E21"/>
    <mergeCell ref="B22:E22"/>
    <mergeCell ref="A25:F25"/>
    <mergeCell ref="B37:E37"/>
    <mergeCell ref="B93:E93"/>
    <mergeCell ref="B94:E94"/>
    <mergeCell ref="D95:E95"/>
    <mergeCell ref="D79:E79"/>
    <mergeCell ref="D80:E80"/>
    <mergeCell ref="D81:E81"/>
    <mergeCell ref="A40:F40"/>
    <mergeCell ref="B64:E64"/>
    <mergeCell ref="A67:F67"/>
    <mergeCell ref="B76:E76"/>
    <mergeCell ref="C77:D77"/>
    <mergeCell ref="B78:E78"/>
    <mergeCell ref="D96:E96"/>
    <mergeCell ref="D97:E97"/>
    <mergeCell ref="D98:E98"/>
    <mergeCell ref="D82:E82"/>
    <mergeCell ref="D83:E83"/>
    <mergeCell ref="A86:F86"/>
    <mergeCell ref="D115:E115"/>
    <mergeCell ref="D116:E116"/>
    <mergeCell ref="D117:E117"/>
    <mergeCell ref="A120:F120"/>
    <mergeCell ref="B128:E128"/>
    <mergeCell ref="B129:E129"/>
    <mergeCell ref="D99:E99"/>
    <mergeCell ref="A102:F102"/>
    <mergeCell ref="B111:E111"/>
    <mergeCell ref="B112:E112"/>
    <mergeCell ref="D113:E113"/>
    <mergeCell ref="D114:E114"/>
    <mergeCell ref="B146:E146"/>
    <mergeCell ref="C147:E147"/>
    <mergeCell ref="B148:E148"/>
    <mergeCell ref="D149:E149"/>
    <mergeCell ref="D150:E150"/>
    <mergeCell ref="D151:E151"/>
    <mergeCell ref="D130:E130"/>
    <mergeCell ref="D131:E131"/>
    <mergeCell ref="D132:E132"/>
    <mergeCell ref="D133:E133"/>
    <mergeCell ref="D134:E134"/>
    <mergeCell ref="A137:F137"/>
    <mergeCell ref="D166:E166"/>
    <mergeCell ref="D167:E167"/>
    <mergeCell ref="D168:E168"/>
    <mergeCell ref="D169:E169"/>
    <mergeCell ref="A172:F172"/>
    <mergeCell ref="B180:E180"/>
    <mergeCell ref="D152:E152"/>
    <mergeCell ref="D153:E153"/>
    <mergeCell ref="A156:F156"/>
    <mergeCell ref="B163:E163"/>
    <mergeCell ref="B164:E164"/>
    <mergeCell ref="D165:E165"/>
    <mergeCell ref="A189:F189"/>
    <mergeCell ref="B196:E196"/>
    <mergeCell ref="B197:E197"/>
    <mergeCell ref="D198:E198"/>
    <mergeCell ref="D199:E199"/>
    <mergeCell ref="D200:E200"/>
    <mergeCell ref="B181:E181"/>
    <mergeCell ref="D182:E182"/>
    <mergeCell ref="D183:E183"/>
    <mergeCell ref="D184:E184"/>
    <mergeCell ref="D185:E185"/>
    <mergeCell ref="D186:E186"/>
    <mergeCell ref="D215:E215"/>
    <mergeCell ref="D216:E216"/>
    <mergeCell ref="D217:E217"/>
    <mergeCell ref="D218:E218"/>
    <mergeCell ref="A221:F221"/>
    <mergeCell ref="B228:E228"/>
    <mergeCell ref="D201:E201"/>
    <mergeCell ref="D202:E202"/>
    <mergeCell ref="A205:F205"/>
    <mergeCell ref="B212:E212"/>
    <mergeCell ref="B213:E213"/>
    <mergeCell ref="D214:E214"/>
    <mergeCell ref="B266:E266"/>
    <mergeCell ref="A269:F269"/>
    <mergeCell ref="B280:E280"/>
    <mergeCell ref="A283:F283"/>
    <mergeCell ref="B291:E291"/>
    <mergeCell ref="A294:F294"/>
    <mergeCell ref="A231:F231"/>
    <mergeCell ref="B241:E241"/>
    <mergeCell ref="D242:E242"/>
    <mergeCell ref="A245:F245"/>
    <mergeCell ref="B254:E254"/>
    <mergeCell ref="A257:F257"/>
    <mergeCell ref="B341:E341"/>
    <mergeCell ref="B342:E342"/>
    <mergeCell ref="D343:E343"/>
    <mergeCell ref="D344:E344"/>
    <mergeCell ref="D345:E345"/>
    <mergeCell ref="D346:E346"/>
    <mergeCell ref="B302:E302"/>
    <mergeCell ref="A305:F305"/>
    <mergeCell ref="B315:E315"/>
    <mergeCell ref="A318:F318"/>
    <mergeCell ref="B328:E328"/>
    <mergeCell ref="A331:F331"/>
    <mergeCell ref="D360:E360"/>
    <mergeCell ref="D361:E361"/>
    <mergeCell ref="D362:E362"/>
    <mergeCell ref="D363:E363"/>
    <mergeCell ref="D364:E364"/>
    <mergeCell ref="A367:F367"/>
    <mergeCell ref="D347:E347"/>
    <mergeCell ref="A350:F350"/>
    <mergeCell ref="B357:E357"/>
    <mergeCell ref="B358:E358"/>
    <mergeCell ref="D359:E359"/>
    <mergeCell ref="B390:E390"/>
    <mergeCell ref="B391:E391"/>
    <mergeCell ref="D392:E392"/>
    <mergeCell ref="D393:E393"/>
    <mergeCell ref="B374:E374"/>
    <mergeCell ref="B375:E375"/>
    <mergeCell ref="D376:E376"/>
    <mergeCell ref="D377:E377"/>
    <mergeCell ref="D378:E378"/>
    <mergeCell ref="D379:E379"/>
    <mergeCell ref="A493:F493"/>
    <mergeCell ref="B501:E501"/>
    <mergeCell ref="B3:F3"/>
    <mergeCell ref="B4:F4"/>
    <mergeCell ref="B5:F5"/>
    <mergeCell ref="A452:F452"/>
    <mergeCell ref="B464:E464"/>
    <mergeCell ref="A467:F467"/>
    <mergeCell ref="B476:E476"/>
    <mergeCell ref="A479:F479"/>
    <mergeCell ref="B490:E490"/>
    <mergeCell ref="A409:F409"/>
    <mergeCell ref="B423:E423"/>
    <mergeCell ref="A426:F426"/>
    <mergeCell ref="B436:E436"/>
    <mergeCell ref="A439:F439"/>
    <mergeCell ref="B449:E449"/>
    <mergeCell ref="D394:E394"/>
    <mergeCell ref="D395:E395"/>
    <mergeCell ref="D396:E396"/>
    <mergeCell ref="A399:F399"/>
    <mergeCell ref="B406:E406"/>
    <mergeCell ref="D380:E380"/>
    <mergeCell ref="A383:F383"/>
  </mergeCells>
  <hyperlinks>
    <hyperlink ref="F152" r:id="rId1" display="contato@svgmetalurgica.com.br/ 3682-6168" xr:uid="{00000000-0004-0000-0400-000000000000}"/>
    <hyperlink ref="F168" r:id="rId2" display="contato@svgmetalurgica.com.br/ 3682-6168" xr:uid="{00000000-0004-0000-0400-000001000000}"/>
    <hyperlink ref="F185" r:id="rId3" display="contato@svgmetalurgica.com.br/ 3682-6168" xr:uid="{00000000-0004-0000-0400-000002000000}"/>
    <hyperlink ref="F217" r:id="rId4" display="contato@svgmetalurgica.com.br/ 3682-6168" xr:uid="{00000000-0004-0000-0400-000003000000}"/>
    <hyperlink ref="F363" r:id="rId5" display="contato@svgmetalurgica.com.br/ 3682-6168" xr:uid="{00000000-0004-0000-0400-000004000000}"/>
  </hyperlinks>
  <printOptions horizontalCentered="1"/>
  <pageMargins left="0.51181102362204722" right="0.51181102362204722" top="0.78740157480314965" bottom="0.78740157480314965" header="0.31496062992125984" footer="0.31496062992125984"/>
  <pageSetup paperSize="9" scale="65"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0"/>
  <sheetViews>
    <sheetView topLeftCell="A22" workbookViewId="0">
      <selection activeCell="A24" sqref="A24:E27"/>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58"/>
      <c r="B1" s="59"/>
      <c r="C1" s="59"/>
      <c r="D1" s="59"/>
      <c r="E1" s="59"/>
      <c r="F1" s="60"/>
    </row>
    <row r="2" spans="1:6">
      <c r="A2" s="55"/>
      <c r="B2" s="16"/>
      <c r="C2" s="16"/>
      <c r="D2" s="16"/>
      <c r="E2" s="16"/>
      <c r="F2" s="56"/>
    </row>
    <row r="3" spans="1:6">
      <c r="A3" s="55"/>
      <c r="B3" s="1950"/>
      <c r="C3" s="1950"/>
      <c r="D3" s="1950"/>
      <c r="E3" s="1950"/>
      <c r="F3" s="1951"/>
    </row>
    <row r="4" spans="1:6">
      <c r="A4" s="55"/>
      <c r="B4" s="1950"/>
      <c r="C4" s="1950"/>
      <c r="D4" s="1950"/>
      <c r="E4" s="1950"/>
      <c r="F4" s="1951"/>
    </row>
    <row r="5" spans="1:6">
      <c r="A5" s="55"/>
      <c r="B5" s="1952"/>
      <c r="C5" s="1952"/>
      <c r="D5" s="1952"/>
      <c r="E5" s="1952"/>
      <c r="F5" s="1953"/>
    </row>
    <row r="6" spans="1:6" ht="15.75" thickBot="1">
      <c r="A6" s="1026"/>
      <c r="B6" s="1139"/>
      <c r="C6" s="1139"/>
      <c r="D6" s="1139"/>
      <c r="E6" s="1139"/>
      <c r="F6" s="1140"/>
    </row>
    <row r="7" spans="1:6" ht="6" customHeight="1" thickBot="1"/>
    <row r="8" spans="1:6">
      <c r="A8" s="126" t="s">
        <v>0</v>
      </c>
      <c r="B8" s="59" t="str">
        <f>'PLANILHA SEM DESON'!B9:C9</f>
        <v>SEMA-PRO-2022/00145</v>
      </c>
      <c r="C8" s="59"/>
      <c r="D8" s="59"/>
      <c r="E8" s="127" t="s">
        <v>133</v>
      </c>
      <c r="F8" s="428">
        <f>'PLANILHA SEM DESON'!J12</f>
        <v>0</v>
      </c>
    </row>
    <row r="9" spans="1:6">
      <c r="A9" s="104" t="s">
        <v>1</v>
      </c>
      <c r="B9" s="16" t="str">
        <f>'PLANILHA SEM DESON'!B10:C10</f>
        <v>CONSTRUÇÃO DE DIRETORIA DE UNIDADE DESCONCENTRADA DA SEMA - DUDS</v>
      </c>
      <c r="C9" s="16"/>
      <c r="D9" s="16"/>
      <c r="E9" s="16"/>
      <c r="F9" s="56"/>
    </row>
    <row r="10" spans="1:6">
      <c r="A10" s="104" t="s">
        <v>2</v>
      </c>
      <c r="B10" s="16" t="str">
        <f>'PLANILHA SEM DESON'!B11:C11</f>
        <v>RUA 24 A - JARDIM TANGARA II</v>
      </c>
      <c r="C10" s="16"/>
      <c r="D10" s="16"/>
      <c r="E10" s="16"/>
      <c r="F10" s="56"/>
    </row>
    <row r="11" spans="1:6">
      <c r="A11" s="104" t="s">
        <v>4</v>
      </c>
      <c r="B11" s="16" t="str">
        <f>'PLANILHA SEM DESON'!B12:C12</f>
        <v>TANGARÁ DA SERRA - MT</v>
      </c>
      <c r="C11" s="16"/>
      <c r="D11" s="16"/>
      <c r="E11" s="16"/>
      <c r="F11" s="56"/>
    </row>
    <row r="12" spans="1:6" ht="15.75" thickBot="1">
      <c r="A12" s="1141" t="s">
        <v>5</v>
      </c>
      <c r="B12" s="1139" t="str">
        <f>'PLANILHA SEM DESON'!B13</f>
        <v xml:space="preserve">CONSTRUÇÃO </v>
      </c>
      <c r="C12" s="1139"/>
      <c r="D12" s="1139"/>
      <c r="E12" s="1139"/>
      <c r="F12" s="1140"/>
    </row>
    <row r="13" spans="1:6" ht="6" customHeight="1" thickBot="1">
      <c r="A13" s="16"/>
    </row>
    <row r="14" spans="1:6" ht="16.5" thickBot="1">
      <c r="A14" s="2020" t="s">
        <v>1914</v>
      </c>
      <c r="B14" s="2021"/>
      <c r="C14" s="2021"/>
      <c r="D14" s="2021"/>
      <c r="E14" s="2021"/>
      <c r="F14" s="2022"/>
    </row>
    <row r="15" spans="1:6" ht="25.5">
      <c r="A15" s="230" t="s">
        <v>1912</v>
      </c>
      <c r="B15" s="481" t="s">
        <v>2126</v>
      </c>
      <c r="C15" s="236" t="s">
        <v>54</v>
      </c>
      <c r="D15" s="72"/>
      <c r="E15" s="73"/>
      <c r="F15" s="124"/>
    </row>
    <row r="16" spans="1:6">
      <c r="A16" s="2000" t="s">
        <v>2121</v>
      </c>
      <c r="B16" s="2001"/>
      <c r="C16" s="2001"/>
      <c r="D16" s="2001"/>
      <c r="E16" s="2001"/>
      <c r="F16" s="2002"/>
    </row>
    <row r="17" spans="1:8" ht="25.5">
      <c r="A17" s="131"/>
      <c r="B17" s="237" t="s">
        <v>56</v>
      </c>
      <c r="C17" s="238" t="s">
        <v>49</v>
      </c>
      <c r="D17" s="239" t="s">
        <v>50</v>
      </c>
      <c r="E17" s="240" t="s">
        <v>62</v>
      </c>
      <c r="F17" s="241" t="s">
        <v>52</v>
      </c>
      <c r="H17" s="260"/>
    </row>
    <row r="18" spans="1:8" ht="25.5">
      <c r="A18" s="231">
        <v>88239</v>
      </c>
      <c r="B18" s="98" t="s">
        <v>454</v>
      </c>
      <c r="C18" s="183" t="s">
        <v>57</v>
      </c>
      <c r="D18" s="243">
        <v>0.123</v>
      </c>
      <c r="E18" s="1257">
        <v>18.79</v>
      </c>
      <c r="F18" s="1163">
        <f>TRUNC((D18*E18),2)</f>
        <v>2.31</v>
      </c>
    </row>
    <row r="19" spans="1:8" ht="25.5">
      <c r="A19" s="231">
        <v>88262</v>
      </c>
      <c r="B19" s="98" t="s">
        <v>441</v>
      </c>
      <c r="C19" s="183" t="s">
        <v>57</v>
      </c>
      <c r="D19" s="243">
        <v>7.4999999999999997E-2</v>
      </c>
      <c r="E19" s="1257">
        <v>22.16</v>
      </c>
      <c r="F19" s="1163">
        <f>TRUNC((D19*E19),2)</f>
        <v>1.66</v>
      </c>
    </row>
    <row r="20" spans="1:8">
      <c r="A20" s="1027">
        <v>88309</v>
      </c>
      <c r="B20" s="98" t="s">
        <v>103</v>
      </c>
      <c r="C20" s="183" t="s">
        <v>57</v>
      </c>
      <c r="D20" s="243">
        <v>0.02</v>
      </c>
      <c r="E20" s="1257">
        <v>22.41</v>
      </c>
      <c r="F20" s="1163">
        <f>TRUNC((D20*E20),2)</f>
        <v>0.44</v>
      </c>
    </row>
    <row r="21" spans="1:8">
      <c r="A21" s="1027">
        <v>88316</v>
      </c>
      <c r="B21" s="98" t="s">
        <v>66</v>
      </c>
      <c r="C21" s="183" t="s">
        <v>57</v>
      </c>
      <c r="D21" s="243">
        <v>0.06</v>
      </c>
      <c r="E21" s="1257">
        <v>17.82</v>
      </c>
      <c r="F21" s="1163">
        <f>TRUNC((D21*E21),2)</f>
        <v>1.06</v>
      </c>
    </row>
    <row r="22" spans="1:8">
      <c r="A22" s="1164"/>
      <c r="B22" s="947"/>
      <c r="C22" s="183" t="s">
        <v>42</v>
      </c>
      <c r="D22" s="244" t="s">
        <v>42</v>
      </c>
      <c r="E22" s="245" t="s">
        <v>58</v>
      </c>
      <c r="F22" s="1165">
        <f>SUM(F18:F21)</f>
        <v>5.4700000000000006</v>
      </c>
    </row>
    <row r="23" spans="1:8" ht="25.5">
      <c r="A23" s="1164"/>
      <c r="B23" s="1166" t="s">
        <v>95</v>
      </c>
      <c r="C23" s="197" t="s">
        <v>49</v>
      </c>
      <c r="D23" s="246" t="s">
        <v>50</v>
      </c>
      <c r="E23" s="247" t="s">
        <v>62</v>
      </c>
      <c r="F23" s="1165" t="s">
        <v>52</v>
      </c>
    </row>
    <row r="24" spans="1:8" ht="38.25">
      <c r="A24" s="231">
        <v>102475</v>
      </c>
      <c r="B24" s="98" t="s">
        <v>2125</v>
      </c>
      <c r="C24" s="183" t="s">
        <v>47</v>
      </c>
      <c r="D24" s="248">
        <v>0.01</v>
      </c>
      <c r="E24" s="1287">
        <v>658.56</v>
      </c>
      <c r="F24" s="1163">
        <f>TRUNC((D24*E24),2)</f>
        <v>6.58</v>
      </c>
    </row>
    <row r="25" spans="1:8" ht="63.75">
      <c r="A25" s="1027">
        <v>92915</v>
      </c>
      <c r="B25" s="98" t="s">
        <v>2122</v>
      </c>
      <c r="C25" s="183" t="s">
        <v>100</v>
      </c>
      <c r="D25" s="248">
        <v>0.72</v>
      </c>
      <c r="E25" s="1287">
        <v>19.28</v>
      </c>
      <c r="F25" s="1163">
        <f>TRUNC((D25*E25),2)</f>
        <v>13.88</v>
      </c>
    </row>
    <row r="26" spans="1:8">
      <c r="A26" s="1027">
        <v>5069</v>
      </c>
      <c r="B26" s="98" t="s">
        <v>2123</v>
      </c>
      <c r="C26" s="183" t="s">
        <v>100</v>
      </c>
      <c r="D26" s="248">
        <v>0.01</v>
      </c>
      <c r="E26" s="1287">
        <v>26.39</v>
      </c>
      <c r="F26" s="1163">
        <f>TRUNC((D26*E26),2)</f>
        <v>0.26</v>
      </c>
    </row>
    <row r="27" spans="1:8" ht="25.5">
      <c r="A27" s="1027">
        <v>6189</v>
      </c>
      <c r="B27" s="98" t="s">
        <v>2124</v>
      </c>
      <c r="C27" s="183" t="s">
        <v>54</v>
      </c>
      <c r="D27" s="248">
        <v>0.22189999999999999</v>
      </c>
      <c r="E27" s="1287">
        <v>26.29</v>
      </c>
      <c r="F27" s="1163">
        <f>TRUNC((D27*E27),2)</f>
        <v>5.83</v>
      </c>
    </row>
    <row r="28" spans="1:8" ht="15.75" thickBot="1">
      <c r="A28" s="100"/>
      <c r="B28" s="196"/>
      <c r="C28" s="1120"/>
      <c r="D28" s="251"/>
      <c r="E28" s="252" t="s">
        <v>58</v>
      </c>
      <c r="F28" s="218">
        <f>SUM(F24:F27)</f>
        <v>26.550000000000004</v>
      </c>
    </row>
    <row r="29" spans="1:8" ht="12.75" customHeight="1" thickBot="1">
      <c r="A29" s="982"/>
      <c r="B29" s="2014" t="s">
        <v>53</v>
      </c>
      <c r="C29" s="2014"/>
      <c r="D29" s="2014"/>
      <c r="E29" s="2014"/>
      <c r="F29" s="983">
        <f>F22+F28</f>
        <v>32.020000000000003</v>
      </c>
    </row>
    <row r="30" spans="1:8" ht="3.75" customHeight="1"/>
  </sheetData>
  <mergeCells count="6">
    <mergeCell ref="A16:F16"/>
    <mergeCell ref="B29:E29"/>
    <mergeCell ref="B3:F3"/>
    <mergeCell ref="B4:F4"/>
    <mergeCell ref="B5:F5"/>
    <mergeCell ref="A14:F14"/>
  </mergeCells>
  <printOptions horizontalCentered="1"/>
  <pageMargins left="0.51181102362204722" right="0.51181102362204722" top="0.78740157480314965" bottom="0.78740157480314965" header="0.31496062992125984" footer="0.31496062992125984"/>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97"/>
  <sheetViews>
    <sheetView topLeftCell="A234" workbookViewId="0">
      <selection activeCell="A247" sqref="A247:E247"/>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58"/>
      <c r="B1" s="59"/>
      <c r="C1" s="59"/>
      <c r="D1" s="59"/>
      <c r="E1" s="59"/>
      <c r="F1" s="60"/>
    </row>
    <row r="2" spans="1:8">
      <c r="A2" s="55"/>
      <c r="B2" s="16"/>
      <c r="C2" s="16"/>
      <c r="D2" s="16"/>
      <c r="E2" s="16"/>
      <c r="F2" s="56"/>
    </row>
    <row r="3" spans="1:8">
      <c r="A3" s="55"/>
      <c r="B3" s="1950"/>
      <c r="C3" s="1950"/>
      <c r="D3" s="1950"/>
      <c r="E3" s="1950"/>
      <c r="F3" s="1951"/>
    </row>
    <row r="4" spans="1:8">
      <c r="A4" s="55"/>
      <c r="B4" s="1950"/>
      <c r="C4" s="1950"/>
      <c r="D4" s="1950"/>
      <c r="E4" s="1950"/>
      <c r="F4" s="1951"/>
    </row>
    <row r="5" spans="1:8">
      <c r="A5" s="55"/>
      <c r="B5" s="1952"/>
      <c r="C5" s="1952"/>
      <c r="D5" s="1952"/>
      <c r="E5" s="1952"/>
      <c r="F5" s="1953"/>
    </row>
    <row r="6" spans="1:8" ht="15.75" thickBot="1">
      <c r="A6" s="1026"/>
      <c r="B6" s="1139"/>
      <c r="C6" s="1139"/>
      <c r="D6" s="1139"/>
      <c r="E6" s="1139"/>
      <c r="F6" s="1140"/>
    </row>
    <row r="7" spans="1:8" ht="3.75" customHeight="1" thickBot="1"/>
    <row r="8" spans="1:8">
      <c r="A8" s="126" t="s">
        <v>0</v>
      </c>
      <c r="B8" s="59" t="str">
        <f>'PLANILHA SEM DESON'!B9:C9</f>
        <v>SEMA-PRO-2022/00145</v>
      </c>
      <c r="C8" s="59"/>
      <c r="D8" s="59"/>
      <c r="E8" s="127" t="s">
        <v>133</v>
      </c>
      <c r="F8" s="428">
        <f>'PLANILHA SEM DESON'!J12</f>
        <v>0</v>
      </c>
    </row>
    <row r="9" spans="1:8">
      <c r="A9" s="104" t="s">
        <v>1</v>
      </c>
      <c r="B9" s="16" t="str">
        <f>'PLANILHA SEM DESON'!B10:C10</f>
        <v>CONSTRUÇÃO DE DIRETORIA DE UNIDADE DESCONCENTRADA DA SEMA - DUDS</v>
      </c>
      <c r="C9" s="16"/>
      <c r="D9" s="16"/>
      <c r="E9" s="16"/>
      <c r="F9" s="56"/>
    </row>
    <row r="10" spans="1:8">
      <c r="A10" s="104" t="s">
        <v>2</v>
      </c>
      <c r="B10" s="16" t="str">
        <f>'PLANILHA SEM DESON'!B11:C11</f>
        <v>RUA 24 A - JARDIM TANGARA II</v>
      </c>
      <c r="C10" s="16"/>
      <c r="D10" s="16"/>
      <c r="E10" s="16"/>
      <c r="F10" s="56"/>
    </row>
    <row r="11" spans="1:8">
      <c r="A11" s="104" t="s">
        <v>4</v>
      </c>
      <c r="B11" s="16" t="str">
        <f>'PLANILHA SEM DESON'!B12:C12</f>
        <v>TANGARÁ DA SERRA - MT</v>
      </c>
      <c r="C11" s="16"/>
      <c r="D11" s="16"/>
      <c r="E11" s="16"/>
      <c r="F11" s="56"/>
    </row>
    <row r="12" spans="1:8" ht="15.75" thickBot="1">
      <c r="A12" s="1141" t="s">
        <v>5</v>
      </c>
      <c r="B12" s="1139" t="str">
        <f>'PLANILHA SEM DESON'!B13</f>
        <v xml:space="preserve">CONSTRUÇÃO </v>
      </c>
      <c r="C12" s="1139"/>
      <c r="D12" s="1139"/>
      <c r="E12" s="1139"/>
      <c r="F12" s="1140"/>
    </row>
    <row r="13" spans="1:8" ht="3.75" customHeight="1" thickBot="1">
      <c r="A13" s="16"/>
    </row>
    <row r="14" spans="1:8" ht="16.5" thickBot="1">
      <c r="A14" s="2020" t="s">
        <v>458</v>
      </c>
      <c r="B14" s="2021"/>
      <c r="C14" s="2021"/>
      <c r="D14" s="2021"/>
      <c r="E14" s="2021"/>
      <c r="F14" s="2022"/>
      <c r="H14" s="235"/>
    </row>
    <row r="15" spans="1:8" ht="25.5">
      <c r="A15" s="230" t="s">
        <v>459</v>
      </c>
      <c r="B15" s="130" t="s">
        <v>460</v>
      </c>
      <c r="C15" s="236" t="s">
        <v>55</v>
      </c>
      <c r="D15" s="72"/>
      <c r="E15" s="73"/>
      <c r="F15" s="124"/>
      <c r="G15" s="234"/>
      <c r="H15" s="234"/>
    </row>
    <row r="16" spans="1:8">
      <c r="A16" s="2000" t="s">
        <v>1808</v>
      </c>
      <c r="B16" s="2001"/>
      <c r="C16" s="2001"/>
      <c r="D16" s="2001"/>
      <c r="E16" s="2001"/>
      <c r="F16" s="2002"/>
    </row>
    <row r="17" spans="1:8" ht="25.5">
      <c r="A17" s="131"/>
      <c r="B17" s="237" t="s">
        <v>56</v>
      </c>
      <c r="C17" s="238" t="s">
        <v>49</v>
      </c>
      <c r="D17" s="239" t="s">
        <v>50</v>
      </c>
      <c r="E17" s="240" t="s">
        <v>62</v>
      </c>
      <c r="F17" s="241" t="s">
        <v>52</v>
      </c>
    </row>
    <row r="18" spans="1:8" ht="25.5">
      <c r="A18" s="231" t="s">
        <v>461</v>
      </c>
      <c r="B18" s="242" t="s">
        <v>101</v>
      </c>
      <c r="C18" s="183" t="s">
        <v>57</v>
      </c>
      <c r="D18" s="243">
        <v>0.108</v>
      </c>
      <c r="E18" s="1257">
        <v>20.16</v>
      </c>
      <c r="F18" s="1163">
        <f>TRUNC((D18*E18),2)</f>
        <v>2.17</v>
      </c>
    </row>
    <row r="19" spans="1:8" ht="25.5">
      <c r="A19" s="231" t="s">
        <v>462</v>
      </c>
      <c r="B19" s="242" t="s">
        <v>102</v>
      </c>
      <c r="C19" s="183" t="s">
        <v>57</v>
      </c>
      <c r="D19" s="243">
        <v>0.108</v>
      </c>
      <c r="E19" s="1257">
        <v>24.64</v>
      </c>
      <c r="F19" s="1163">
        <f>TRUNC((D19*E19),2)</f>
        <v>2.66</v>
      </c>
    </row>
    <row r="20" spans="1:8">
      <c r="A20" s="1164"/>
      <c r="B20" s="947"/>
      <c r="C20" s="183" t="s">
        <v>42</v>
      </c>
      <c r="D20" s="244" t="s">
        <v>42</v>
      </c>
      <c r="E20" s="245" t="s">
        <v>58</v>
      </c>
      <c r="F20" s="1165">
        <f>SUM(F18:F19)</f>
        <v>4.83</v>
      </c>
    </row>
    <row r="21" spans="1:8" ht="25.5">
      <c r="A21" s="1164"/>
      <c r="B21" s="1166" t="s">
        <v>95</v>
      </c>
      <c r="C21" s="197" t="s">
        <v>49</v>
      </c>
      <c r="D21" s="246" t="s">
        <v>50</v>
      </c>
      <c r="E21" s="247" t="s">
        <v>62</v>
      </c>
      <c r="F21" s="1165" t="s">
        <v>52</v>
      </c>
    </row>
    <row r="22" spans="1:8">
      <c r="A22" s="231" t="s">
        <v>463</v>
      </c>
      <c r="B22" s="242" t="s">
        <v>125</v>
      </c>
      <c r="C22" s="183" t="s">
        <v>55</v>
      </c>
      <c r="D22" s="248">
        <v>1.7999999999999999E-2</v>
      </c>
      <c r="E22" s="1287">
        <v>76.86</v>
      </c>
      <c r="F22" s="1163">
        <f>TRUNC((D22*E22),2)</f>
        <v>1.38</v>
      </c>
      <c r="H22" s="249"/>
    </row>
    <row r="23" spans="1:8" ht="25.5">
      <c r="A23" s="231" t="s">
        <v>464</v>
      </c>
      <c r="B23" s="242" t="s">
        <v>465</v>
      </c>
      <c r="C23" s="183" t="s">
        <v>55</v>
      </c>
      <c r="D23" s="248">
        <v>1</v>
      </c>
      <c r="E23" s="1287">
        <v>7</v>
      </c>
      <c r="F23" s="1163">
        <f>TRUNC((D23*E23),2)</f>
        <v>7</v>
      </c>
      <c r="H23" s="249"/>
    </row>
    <row r="24" spans="1:8">
      <c r="A24" s="231" t="s">
        <v>466</v>
      </c>
      <c r="B24" s="242" t="s">
        <v>126</v>
      </c>
      <c r="C24" s="183" t="s">
        <v>55</v>
      </c>
      <c r="D24" s="243">
        <v>2.1999999999999999E-2</v>
      </c>
      <c r="E24" s="1287">
        <v>87.08</v>
      </c>
      <c r="F24" s="1163">
        <f>TRUNC((D24*E24),2)</f>
        <v>1.91</v>
      </c>
      <c r="H24" s="249"/>
    </row>
    <row r="25" spans="1:8">
      <c r="A25" s="231" t="s">
        <v>467</v>
      </c>
      <c r="B25" s="242" t="s">
        <v>171</v>
      </c>
      <c r="C25" s="183" t="s">
        <v>55</v>
      </c>
      <c r="D25" s="243">
        <v>2.4E-2</v>
      </c>
      <c r="E25" s="1287">
        <v>2.56</v>
      </c>
      <c r="F25" s="1163">
        <f>TRUNC((D25*E25),2)</f>
        <v>0.06</v>
      </c>
      <c r="H25" s="250"/>
    </row>
    <row r="26" spans="1:8" ht="15.75" thickBot="1">
      <c r="A26" s="100"/>
      <c r="B26" s="196"/>
      <c r="C26" s="1120"/>
      <c r="D26" s="251"/>
      <c r="E26" s="252" t="s">
        <v>58</v>
      </c>
      <c r="F26" s="218">
        <f>SUM(F22:F25)</f>
        <v>10.35</v>
      </c>
      <c r="H26" s="253"/>
    </row>
    <row r="27" spans="1:8" ht="15.75" thickBot="1">
      <c r="A27" s="982"/>
      <c r="B27" s="2014" t="s">
        <v>53</v>
      </c>
      <c r="C27" s="2014"/>
      <c r="D27" s="2014"/>
      <c r="E27" s="2014"/>
      <c r="F27" s="983">
        <f>F20+F26</f>
        <v>15.18</v>
      </c>
      <c r="H27" s="253"/>
    </row>
    <row r="28" spans="1:8" ht="15.75" thickBot="1">
      <c r="H28" s="200"/>
    </row>
    <row r="29" spans="1:8" ht="25.5">
      <c r="A29" s="230" t="s">
        <v>468</v>
      </c>
      <c r="B29" s="481" t="s">
        <v>1807</v>
      </c>
      <c r="C29" s="236" t="s">
        <v>55</v>
      </c>
      <c r="D29" s="72"/>
      <c r="E29" s="73"/>
      <c r="F29" s="124"/>
      <c r="G29" s="234"/>
      <c r="H29" s="234"/>
    </row>
    <row r="30" spans="1:8" ht="15" customHeight="1">
      <c r="A30" s="2000" t="s">
        <v>1808</v>
      </c>
      <c r="B30" s="2001"/>
      <c r="C30" s="2001"/>
      <c r="D30" s="2001"/>
      <c r="E30" s="2001"/>
      <c r="F30" s="2002"/>
    </row>
    <row r="31" spans="1:8" ht="25.5">
      <c r="A31" s="131"/>
      <c r="B31" s="237" t="s">
        <v>56</v>
      </c>
      <c r="C31" s="238" t="s">
        <v>49</v>
      </c>
      <c r="D31" s="239" t="s">
        <v>50</v>
      </c>
      <c r="E31" s="240" t="s">
        <v>62</v>
      </c>
      <c r="F31" s="241" t="s">
        <v>52</v>
      </c>
    </row>
    <row r="32" spans="1:8" ht="25.5">
      <c r="A32" s="231" t="s">
        <v>461</v>
      </c>
      <c r="B32" s="242" t="s">
        <v>101</v>
      </c>
      <c r="C32" s="183" t="s">
        <v>57</v>
      </c>
      <c r="D32" s="243">
        <v>0.108</v>
      </c>
      <c r="E32" s="1257">
        <v>20.16</v>
      </c>
      <c r="F32" s="1163">
        <f>TRUNC((D32*E32),2)</f>
        <v>2.17</v>
      </c>
      <c r="H32" s="254"/>
    </row>
    <row r="33" spans="1:9" ht="25.5">
      <c r="A33" s="231" t="s">
        <v>462</v>
      </c>
      <c r="B33" s="242" t="s">
        <v>102</v>
      </c>
      <c r="C33" s="183" t="s">
        <v>57</v>
      </c>
      <c r="D33" s="243">
        <v>0.108</v>
      </c>
      <c r="E33" s="1257">
        <v>24.64</v>
      </c>
      <c r="F33" s="1163">
        <f>TRUNC((D33*E33),2)</f>
        <v>2.66</v>
      </c>
      <c r="H33" s="254"/>
    </row>
    <row r="34" spans="1:9">
      <c r="A34" s="1164"/>
      <c r="B34" s="947"/>
      <c r="C34" s="183" t="s">
        <v>42</v>
      </c>
      <c r="D34" s="244" t="s">
        <v>42</v>
      </c>
      <c r="E34" s="245" t="s">
        <v>58</v>
      </c>
      <c r="F34" s="1165">
        <f>SUM(F32:F33)</f>
        <v>4.83</v>
      </c>
      <c r="H34" s="254"/>
    </row>
    <row r="35" spans="1:9" ht="25.5">
      <c r="A35" s="1164"/>
      <c r="B35" s="1166" t="s">
        <v>95</v>
      </c>
      <c r="C35" s="197" t="s">
        <v>49</v>
      </c>
      <c r="D35" s="246" t="s">
        <v>50</v>
      </c>
      <c r="E35" s="247" t="s">
        <v>62</v>
      </c>
      <c r="F35" s="1165" t="s">
        <v>52</v>
      </c>
      <c r="H35" s="254"/>
    </row>
    <row r="36" spans="1:9">
      <c r="A36" s="231" t="s">
        <v>463</v>
      </c>
      <c r="B36" s="242" t="s">
        <v>125</v>
      </c>
      <c r="C36" s="183" t="s">
        <v>55</v>
      </c>
      <c r="D36" s="248">
        <v>1.7999999999999999E-2</v>
      </c>
      <c r="E36" s="1287">
        <v>76.86</v>
      </c>
      <c r="F36" s="1163">
        <f>TRUNC((D36*E36),2)</f>
        <v>1.38</v>
      </c>
      <c r="H36" s="254"/>
      <c r="I36" s="249"/>
    </row>
    <row r="37" spans="1:9" ht="25.5">
      <c r="A37" s="231">
        <v>3538</v>
      </c>
      <c r="B37" s="98" t="s">
        <v>1807</v>
      </c>
      <c r="C37" s="183" t="s">
        <v>55</v>
      </c>
      <c r="D37" s="248">
        <v>1</v>
      </c>
      <c r="E37" s="1287">
        <v>7.26</v>
      </c>
      <c r="F37" s="1163">
        <f>TRUNC((D37*E37),2)</f>
        <v>7.26</v>
      </c>
      <c r="H37" s="254"/>
      <c r="I37" s="249"/>
    </row>
    <row r="38" spans="1:9">
      <c r="A38" s="231" t="s">
        <v>466</v>
      </c>
      <c r="B38" s="242" t="s">
        <v>126</v>
      </c>
      <c r="C38" s="183" t="s">
        <v>55</v>
      </c>
      <c r="D38" s="243">
        <v>2.1999999999999999E-2</v>
      </c>
      <c r="E38" s="1287">
        <v>87.08</v>
      </c>
      <c r="F38" s="1163">
        <f>TRUNC((D38*E38),2)</f>
        <v>1.91</v>
      </c>
      <c r="H38" s="254"/>
      <c r="I38" s="249"/>
    </row>
    <row r="39" spans="1:9" ht="25.5">
      <c r="A39" s="231">
        <v>3767</v>
      </c>
      <c r="B39" s="242" t="s">
        <v>176</v>
      </c>
      <c r="C39" s="183" t="s">
        <v>55</v>
      </c>
      <c r="D39" s="243">
        <v>2.4E-2</v>
      </c>
      <c r="E39" s="1287">
        <v>1.35</v>
      </c>
      <c r="F39" s="1163">
        <f>TRUNC((D39*E39),2)</f>
        <v>0.03</v>
      </c>
      <c r="H39" s="254"/>
      <c r="I39" s="249"/>
    </row>
    <row r="40" spans="1:9" ht="15.75" thickBot="1">
      <c r="A40" s="100"/>
      <c r="B40" s="196"/>
      <c r="C40" s="1120"/>
      <c r="D40" s="251"/>
      <c r="E40" s="252" t="s">
        <v>58</v>
      </c>
      <c r="F40" s="218">
        <f>SUM(F36:F39)</f>
        <v>10.58</v>
      </c>
    </row>
    <row r="41" spans="1:9" ht="15.75" thickBot="1">
      <c r="A41" s="982"/>
      <c r="B41" s="2014" t="s">
        <v>53</v>
      </c>
      <c r="C41" s="2014"/>
      <c r="D41" s="2014"/>
      <c r="E41" s="2014"/>
      <c r="F41" s="983">
        <f>F34+F40</f>
        <v>15.41</v>
      </c>
    </row>
    <row r="42" spans="1:9" ht="15.75" thickBot="1"/>
    <row r="43" spans="1:9" ht="26.25" customHeight="1">
      <c r="A43" s="230" t="s">
        <v>470</v>
      </c>
      <c r="B43" s="130" t="s">
        <v>1789</v>
      </c>
      <c r="C43" s="236" t="s">
        <v>55</v>
      </c>
      <c r="D43" s="72"/>
      <c r="E43" s="73"/>
      <c r="F43" s="124"/>
      <c r="H43" s="234"/>
    </row>
    <row r="44" spans="1:9" ht="15" customHeight="1">
      <c r="A44" s="2000" t="s">
        <v>1808</v>
      </c>
      <c r="B44" s="2001"/>
      <c r="C44" s="2001"/>
      <c r="D44" s="2001"/>
      <c r="E44" s="2001"/>
      <c r="F44" s="2002"/>
      <c r="H44" s="200"/>
    </row>
    <row r="45" spans="1:9" ht="25.5">
      <c r="A45" s="131"/>
      <c r="B45" s="237" t="s">
        <v>56</v>
      </c>
      <c r="C45" s="238" t="s">
        <v>49</v>
      </c>
      <c r="D45" s="239" t="s">
        <v>50</v>
      </c>
      <c r="E45" s="240" t="s">
        <v>62</v>
      </c>
      <c r="F45" s="241" t="s">
        <v>52</v>
      </c>
      <c r="H45" s="255"/>
    </row>
    <row r="46" spans="1:9" ht="25.5">
      <c r="A46" s="231" t="s">
        <v>461</v>
      </c>
      <c r="B46" s="242" t="s">
        <v>101</v>
      </c>
      <c r="C46" s="183" t="s">
        <v>57</v>
      </c>
      <c r="D46" s="243">
        <v>0.108</v>
      </c>
      <c r="E46" s="1257">
        <v>20.16</v>
      </c>
      <c r="F46" s="1163">
        <f>TRUNC((D46*E46),2)</f>
        <v>2.17</v>
      </c>
      <c r="H46" s="256"/>
    </row>
    <row r="47" spans="1:9" ht="25.5">
      <c r="A47" s="231" t="s">
        <v>462</v>
      </c>
      <c r="B47" s="242" t="s">
        <v>102</v>
      </c>
      <c r="C47" s="183" t="s">
        <v>57</v>
      </c>
      <c r="D47" s="243">
        <v>0.108</v>
      </c>
      <c r="E47" s="1257">
        <v>24.64</v>
      </c>
      <c r="F47" s="1163">
        <f>TRUNC((D47*E47),2)</f>
        <v>2.66</v>
      </c>
      <c r="H47" s="256"/>
    </row>
    <row r="48" spans="1:9">
      <c r="A48" s="1164"/>
      <c r="B48" s="947"/>
      <c r="C48" s="183" t="s">
        <v>42</v>
      </c>
      <c r="D48" s="244" t="s">
        <v>42</v>
      </c>
      <c r="E48" s="245" t="s">
        <v>58</v>
      </c>
      <c r="F48" s="1165">
        <f>SUM(F46:F47)</f>
        <v>4.83</v>
      </c>
      <c r="H48" s="255"/>
    </row>
    <row r="49" spans="1:9" ht="25.5">
      <c r="A49" s="1164"/>
      <c r="B49" s="1166" t="s">
        <v>95</v>
      </c>
      <c r="C49" s="197" t="s">
        <v>49</v>
      </c>
      <c r="D49" s="246" t="s">
        <v>50</v>
      </c>
      <c r="E49" s="247" t="s">
        <v>62</v>
      </c>
      <c r="F49" s="1165" t="s">
        <v>52</v>
      </c>
      <c r="H49" s="255"/>
    </row>
    <row r="50" spans="1:9">
      <c r="A50" s="231" t="s">
        <v>463</v>
      </c>
      <c r="B50" s="242" t="s">
        <v>125</v>
      </c>
      <c r="C50" s="183" t="s">
        <v>55</v>
      </c>
      <c r="D50" s="248">
        <v>1.7999999999999999E-2</v>
      </c>
      <c r="E50" s="1287">
        <v>76.86</v>
      </c>
      <c r="F50" s="1163">
        <f>TRUNC((D50*E50),2)</f>
        <v>1.38</v>
      </c>
      <c r="H50" s="558"/>
      <c r="I50" s="559"/>
    </row>
    <row r="51" spans="1:9" ht="25.5">
      <c r="A51" s="231">
        <v>3511</v>
      </c>
      <c r="B51" s="242" t="s">
        <v>469</v>
      </c>
      <c r="C51" s="183" t="s">
        <v>55</v>
      </c>
      <c r="D51" s="248">
        <v>1</v>
      </c>
      <c r="E51" s="1287">
        <v>119.64</v>
      </c>
      <c r="F51" s="1163">
        <f>TRUNC((D51*E51),2)</f>
        <v>119.64</v>
      </c>
      <c r="H51" s="558"/>
      <c r="I51" s="559"/>
    </row>
    <row r="52" spans="1:9">
      <c r="A52" s="231" t="s">
        <v>466</v>
      </c>
      <c r="B52" s="242" t="s">
        <v>126</v>
      </c>
      <c r="C52" s="183" t="s">
        <v>55</v>
      </c>
      <c r="D52" s="243">
        <v>2.1999999999999999E-2</v>
      </c>
      <c r="E52" s="1287">
        <v>87.08</v>
      </c>
      <c r="F52" s="1163">
        <f>TRUNC((D52*E52),2)</f>
        <v>1.91</v>
      </c>
      <c r="H52" s="558"/>
      <c r="I52" s="559"/>
    </row>
    <row r="53" spans="1:9" ht="25.5">
      <c r="A53" s="231">
        <v>3767</v>
      </c>
      <c r="B53" s="242" t="s">
        <v>176</v>
      </c>
      <c r="C53" s="183" t="s">
        <v>55</v>
      </c>
      <c r="D53" s="243">
        <v>2.4E-2</v>
      </c>
      <c r="E53" s="1287">
        <v>1.35</v>
      </c>
      <c r="F53" s="1163">
        <f>TRUNC((D53*E53),2)</f>
        <v>0.03</v>
      </c>
      <c r="H53" s="558"/>
      <c r="I53" s="559"/>
    </row>
    <row r="54" spans="1:9" ht="15.75" thickBot="1">
      <c r="A54" s="100"/>
      <c r="B54" s="196"/>
      <c r="C54" s="1120"/>
      <c r="D54" s="251"/>
      <c r="E54" s="252" t="s">
        <v>58</v>
      </c>
      <c r="F54" s="218">
        <f>SUM(F50:F53)</f>
        <v>122.96</v>
      </c>
      <c r="H54" s="560"/>
      <c r="I54" s="560"/>
    </row>
    <row r="55" spans="1:9" ht="15.75" thickBot="1">
      <c r="A55" s="982"/>
      <c r="B55" s="2014" t="s">
        <v>53</v>
      </c>
      <c r="C55" s="2014"/>
      <c r="D55" s="2014"/>
      <c r="E55" s="2014"/>
      <c r="F55" s="983">
        <f>F48+F54</f>
        <v>127.78999999999999</v>
      </c>
      <c r="H55" s="560"/>
      <c r="I55" s="560"/>
    </row>
    <row r="56" spans="1:9" ht="15.75" thickBot="1">
      <c r="H56" s="560"/>
      <c r="I56" s="560"/>
    </row>
    <row r="57" spans="1:9" ht="26.25" thickBot="1">
      <c r="A57" s="262" t="s">
        <v>471</v>
      </c>
      <c r="B57" s="275" t="s">
        <v>1803</v>
      </c>
      <c r="C57" s="1185" t="s">
        <v>55</v>
      </c>
      <c r="D57" s="1001"/>
      <c r="E57" s="1002"/>
      <c r="F57" s="1186"/>
      <c r="G57" s="234"/>
      <c r="H57" s="561"/>
      <c r="I57" s="20"/>
    </row>
    <row r="58" spans="1:9">
      <c r="A58" s="2025" t="s">
        <v>1804</v>
      </c>
      <c r="B58" s="2026"/>
      <c r="C58" s="2026"/>
      <c r="D58" s="2026"/>
      <c r="E58" s="2026"/>
      <c r="F58" s="2027"/>
    </row>
    <row r="59" spans="1:9" ht="25.5">
      <c r="A59" s="131"/>
      <c r="B59" s="237" t="s">
        <v>56</v>
      </c>
      <c r="C59" s="238" t="s">
        <v>49</v>
      </c>
      <c r="D59" s="239" t="s">
        <v>50</v>
      </c>
      <c r="E59" s="240" t="s">
        <v>62</v>
      </c>
      <c r="F59" s="241" t="s">
        <v>52</v>
      </c>
    </row>
    <row r="60" spans="1:9" ht="25.5">
      <c r="A60" s="231" t="s">
        <v>461</v>
      </c>
      <c r="B60" s="242" t="s">
        <v>101</v>
      </c>
      <c r="C60" s="183" t="s">
        <v>57</v>
      </c>
      <c r="D60" s="243">
        <v>0.6</v>
      </c>
      <c r="E60" s="1257">
        <v>20.16</v>
      </c>
      <c r="F60" s="1163">
        <f>TRUNC((D60*E60),2)</f>
        <v>12.09</v>
      </c>
    </row>
    <row r="61" spans="1:9" ht="25.5">
      <c r="A61" s="231" t="s">
        <v>462</v>
      </c>
      <c r="B61" s="242" t="s">
        <v>102</v>
      </c>
      <c r="C61" s="183" t="s">
        <v>57</v>
      </c>
      <c r="D61" s="243">
        <v>0.6</v>
      </c>
      <c r="E61" s="1257">
        <v>24.64</v>
      </c>
      <c r="F61" s="1163">
        <f>TRUNC((D61*E61),2)</f>
        <v>14.78</v>
      </c>
    </row>
    <row r="62" spans="1:9">
      <c r="A62" s="1164"/>
      <c r="B62" s="947"/>
      <c r="C62" s="183" t="s">
        <v>42</v>
      </c>
      <c r="D62" s="244" t="s">
        <v>42</v>
      </c>
      <c r="E62" s="245" t="s">
        <v>58</v>
      </c>
      <c r="F62" s="1165">
        <f>SUM(F60:F61)</f>
        <v>26.869999999999997</v>
      </c>
    </row>
    <row r="63" spans="1:9" ht="25.5">
      <c r="A63" s="1164"/>
      <c r="B63" s="1166" t="s">
        <v>95</v>
      </c>
      <c r="C63" s="197" t="s">
        <v>49</v>
      </c>
      <c r="D63" s="246" t="s">
        <v>50</v>
      </c>
      <c r="E63" s="247" t="s">
        <v>62</v>
      </c>
      <c r="F63" s="1165" t="s">
        <v>52</v>
      </c>
      <c r="H63" s="257"/>
    </row>
    <row r="64" spans="1:9" ht="38.25">
      <c r="A64" s="231">
        <v>1413</v>
      </c>
      <c r="B64" s="98" t="s">
        <v>1805</v>
      </c>
      <c r="C64" s="183" t="s">
        <v>55</v>
      </c>
      <c r="D64" s="248">
        <v>1</v>
      </c>
      <c r="E64" s="1287">
        <v>16.72</v>
      </c>
      <c r="F64" s="1163">
        <f>TRUNC((D64*E64),2)</f>
        <v>16.72</v>
      </c>
      <c r="H64" s="257"/>
    </row>
    <row r="65" spans="1:8">
      <c r="A65" s="231">
        <v>3148</v>
      </c>
      <c r="B65" s="98" t="s">
        <v>477</v>
      </c>
      <c r="C65" s="183" t="s">
        <v>55</v>
      </c>
      <c r="D65" s="248">
        <v>8.9999999999999993E-3</v>
      </c>
      <c r="E65" s="1287">
        <v>17.989999999999998</v>
      </c>
      <c r="F65" s="1163">
        <f>TRUNC((D65*E65),2)</f>
        <v>0.16</v>
      </c>
      <c r="H65" s="257"/>
    </row>
    <row r="66" spans="1:8" ht="25.5">
      <c r="A66" s="231">
        <v>3907</v>
      </c>
      <c r="B66" s="98" t="s">
        <v>1806</v>
      </c>
      <c r="C66" s="183" t="s">
        <v>55</v>
      </c>
      <c r="D66" s="243">
        <v>1</v>
      </c>
      <c r="E66" s="1287">
        <v>7.53</v>
      </c>
      <c r="F66" s="1163">
        <f>TRUNC((D66*E66),2)</f>
        <v>7.53</v>
      </c>
      <c r="H66" s="257"/>
    </row>
    <row r="67" spans="1:8" ht="15.75" thickBot="1">
      <c r="A67" s="100"/>
      <c r="B67" s="196"/>
      <c r="C67" s="1120"/>
      <c r="D67" s="251"/>
      <c r="E67" s="252" t="s">
        <v>58</v>
      </c>
      <c r="F67" s="218">
        <f>SUM(F64:F66)</f>
        <v>24.41</v>
      </c>
      <c r="H67" s="257"/>
    </row>
    <row r="68" spans="1:8" ht="15.75" thickBot="1">
      <c r="A68" s="982"/>
      <c r="B68" s="2014" t="s">
        <v>53</v>
      </c>
      <c r="C68" s="2014"/>
      <c r="D68" s="2014"/>
      <c r="E68" s="2014"/>
      <c r="F68" s="983">
        <f>F62+F67</f>
        <v>51.28</v>
      </c>
      <c r="H68" s="257"/>
    </row>
    <row r="69" spans="1:8" ht="15.75" thickBot="1"/>
    <row r="70" spans="1:8" ht="25.5">
      <c r="A70" s="230" t="s">
        <v>473</v>
      </c>
      <c r="B70" s="130" t="s">
        <v>253</v>
      </c>
      <c r="C70" s="236" t="s">
        <v>54</v>
      </c>
      <c r="D70" s="72"/>
      <c r="E70" s="73"/>
      <c r="F70" s="124"/>
      <c r="G70" s="234"/>
      <c r="H70" s="234"/>
    </row>
    <row r="71" spans="1:8">
      <c r="A71" s="2000" t="s">
        <v>475</v>
      </c>
      <c r="B71" s="2001"/>
      <c r="C71" s="2001"/>
      <c r="D71" s="2001"/>
      <c r="E71" s="2001"/>
      <c r="F71" s="2002"/>
    </row>
    <row r="72" spans="1:8" ht="25.5">
      <c r="A72" s="131"/>
      <c r="B72" s="237" t="s">
        <v>56</v>
      </c>
      <c r="C72" s="238" t="s">
        <v>49</v>
      </c>
      <c r="D72" s="239" t="s">
        <v>50</v>
      </c>
      <c r="E72" s="240" t="s">
        <v>62</v>
      </c>
      <c r="F72" s="241" t="s">
        <v>52</v>
      </c>
      <c r="H72" s="257"/>
    </row>
    <row r="73" spans="1:8" ht="25.5">
      <c r="A73" s="231" t="s">
        <v>461</v>
      </c>
      <c r="B73" s="242" t="s">
        <v>101</v>
      </c>
      <c r="C73" s="183" t="s">
        <v>57</v>
      </c>
      <c r="D73" s="243">
        <v>2.9000000000000001E-2</v>
      </c>
      <c r="E73" s="1257">
        <v>20.16</v>
      </c>
      <c r="F73" s="1163">
        <f>TRUNC((D73*E73),2)</f>
        <v>0.57999999999999996</v>
      </c>
      <c r="H73" s="257"/>
    </row>
    <row r="74" spans="1:8" ht="25.5">
      <c r="A74" s="231" t="s">
        <v>462</v>
      </c>
      <c r="B74" s="242" t="s">
        <v>102</v>
      </c>
      <c r="C74" s="183" t="s">
        <v>57</v>
      </c>
      <c r="D74" s="243">
        <v>2.9000000000000001E-2</v>
      </c>
      <c r="E74" s="1257">
        <v>24.64</v>
      </c>
      <c r="F74" s="1163">
        <f>TRUNC((D74*E74),2)</f>
        <v>0.71</v>
      </c>
      <c r="H74" s="257"/>
    </row>
    <row r="75" spans="1:8">
      <c r="A75" s="1164"/>
      <c r="B75" s="947"/>
      <c r="C75" s="183" t="s">
        <v>42</v>
      </c>
      <c r="D75" s="244" t="s">
        <v>42</v>
      </c>
      <c r="E75" s="245" t="s">
        <v>58</v>
      </c>
      <c r="F75" s="1165">
        <f>SUM(F73:F74)</f>
        <v>1.29</v>
      </c>
      <c r="H75" s="257"/>
    </row>
    <row r="76" spans="1:8" ht="25.5">
      <c r="A76" s="1164"/>
      <c r="B76" s="1166" t="s">
        <v>95</v>
      </c>
      <c r="C76" s="197" t="s">
        <v>49</v>
      </c>
      <c r="D76" s="246" t="s">
        <v>50</v>
      </c>
      <c r="E76" s="247" t="s">
        <v>62</v>
      </c>
      <c r="F76" s="1165" t="s">
        <v>52</v>
      </c>
      <c r="H76" s="257"/>
    </row>
    <row r="77" spans="1:8" ht="25.5">
      <c r="A77" s="231">
        <v>9875</v>
      </c>
      <c r="B77" s="242" t="s">
        <v>1802</v>
      </c>
      <c r="C77" s="183" t="s">
        <v>55</v>
      </c>
      <c r="D77" s="243">
        <v>1.0609999999999999</v>
      </c>
      <c r="E77" s="1287">
        <v>19.72</v>
      </c>
      <c r="F77" s="1163">
        <f>TRUNC((D77*E77),2)</f>
        <v>20.92</v>
      </c>
      <c r="H77" s="257"/>
    </row>
    <row r="78" spans="1:8">
      <c r="A78" s="231">
        <v>38383</v>
      </c>
      <c r="B78" s="242" t="s">
        <v>171</v>
      </c>
      <c r="C78" s="183" t="s">
        <v>55</v>
      </c>
      <c r="D78" s="243">
        <v>0.01</v>
      </c>
      <c r="E78" s="1257">
        <v>2.56</v>
      </c>
      <c r="F78" s="1163">
        <f>TRUNC((D78*E78),2)</f>
        <v>0.02</v>
      </c>
    </row>
    <row r="79" spans="1:8" ht="15.75" thickBot="1">
      <c r="A79" s="100"/>
      <c r="B79" s="196"/>
      <c r="C79" s="1120"/>
      <c r="D79" s="251"/>
      <c r="E79" s="252" t="s">
        <v>58</v>
      </c>
      <c r="F79" s="218">
        <f>SUM(F77:F78)</f>
        <v>20.94</v>
      </c>
    </row>
    <row r="80" spans="1:8" ht="15.75" thickBot="1">
      <c r="A80" s="982"/>
      <c r="B80" s="2014" t="s">
        <v>53</v>
      </c>
      <c r="C80" s="2014"/>
      <c r="D80" s="2014"/>
      <c r="E80" s="2014"/>
      <c r="F80" s="983">
        <f>F75+F79</f>
        <v>22.23</v>
      </c>
    </row>
    <row r="81" spans="1:8" ht="15.75" thickBot="1"/>
    <row r="82" spans="1:8" ht="38.25">
      <c r="A82" s="230" t="s">
        <v>474</v>
      </c>
      <c r="B82" s="130" t="s">
        <v>259</v>
      </c>
      <c r="C82" s="236" t="s">
        <v>55</v>
      </c>
      <c r="D82" s="72"/>
      <c r="E82" s="73"/>
      <c r="F82" s="124"/>
      <c r="G82" s="234"/>
      <c r="H82" s="234"/>
    </row>
    <row r="83" spans="1:8">
      <c r="A83" s="2000" t="s">
        <v>480</v>
      </c>
      <c r="B83" s="2001"/>
      <c r="C83" s="2001"/>
      <c r="D83" s="2001"/>
      <c r="E83" s="2001"/>
      <c r="F83" s="2002"/>
    </row>
    <row r="84" spans="1:8" ht="25.5">
      <c r="A84" s="131"/>
      <c r="B84" s="237" t="s">
        <v>56</v>
      </c>
      <c r="C84" s="238" t="s">
        <v>49</v>
      </c>
      <c r="D84" s="239" t="s">
        <v>50</v>
      </c>
      <c r="E84" s="240" t="s">
        <v>62</v>
      </c>
      <c r="F84" s="241" t="s">
        <v>52</v>
      </c>
    </row>
    <row r="85" spans="1:8" ht="25.5">
      <c r="A85" s="231" t="s">
        <v>461</v>
      </c>
      <c r="B85" s="242" t="s">
        <v>101</v>
      </c>
      <c r="C85" s="183" t="s">
        <v>57</v>
      </c>
      <c r="D85" s="243">
        <v>7.1999999999999995E-2</v>
      </c>
      <c r="E85" s="1257">
        <v>20.16</v>
      </c>
      <c r="F85" s="1163">
        <f>TRUNC((D85*E85),2)</f>
        <v>1.45</v>
      </c>
      <c r="H85" s="257"/>
    </row>
    <row r="86" spans="1:8" ht="25.5">
      <c r="A86" s="231" t="s">
        <v>462</v>
      </c>
      <c r="B86" s="242" t="s">
        <v>102</v>
      </c>
      <c r="C86" s="183" t="s">
        <v>57</v>
      </c>
      <c r="D86" s="243">
        <v>7.1999999999999995E-2</v>
      </c>
      <c r="E86" s="1257">
        <v>24.64</v>
      </c>
      <c r="F86" s="1163">
        <f>TRUNC((D86*E86),2)</f>
        <v>1.77</v>
      </c>
      <c r="H86" s="257"/>
    </row>
    <row r="87" spans="1:8">
      <c r="A87" s="1164"/>
      <c r="B87" s="947"/>
      <c r="C87" s="183" t="s">
        <v>42</v>
      </c>
      <c r="D87" s="244" t="s">
        <v>42</v>
      </c>
      <c r="E87" s="245" t="s">
        <v>58</v>
      </c>
      <c r="F87" s="1165">
        <f>SUM(F85:F86)</f>
        <v>3.2199999999999998</v>
      </c>
      <c r="H87" s="257"/>
    </row>
    <row r="88" spans="1:8" ht="25.5">
      <c r="A88" s="1164"/>
      <c r="B88" s="1166" t="s">
        <v>95</v>
      </c>
      <c r="C88" s="197" t="s">
        <v>49</v>
      </c>
      <c r="D88" s="246" t="s">
        <v>50</v>
      </c>
      <c r="E88" s="247" t="s">
        <v>62</v>
      </c>
      <c r="F88" s="1165" t="s">
        <v>52</v>
      </c>
      <c r="H88" s="257"/>
    </row>
    <row r="89" spans="1:8" ht="25.5">
      <c r="A89" s="231">
        <v>112</v>
      </c>
      <c r="B89" s="211" t="s">
        <v>481</v>
      </c>
      <c r="C89" s="183" t="s">
        <v>55</v>
      </c>
      <c r="D89" s="243">
        <v>1</v>
      </c>
      <c r="E89" s="1287">
        <v>6.25</v>
      </c>
      <c r="F89" s="1163">
        <f>TRUNC((D89*E89),2)</f>
        <v>6.25</v>
      </c>
      <c r="H89" s="257"/>
    </row>
    <row r="90" spans="1:8">
      <c r="A90" s="231">
        <v>122</v>
      </c>
      <c r="B90" s="211" t="s">
        <v>125</v>
      </c>
      <c r="C90" s="183" t="s">
        <v>55</v>
      </c>
      <c r="D90" s="243">
        <v>1.7999999999999999E-2</v>
      </c>
      <c r="E90" s="1287">
        <v>76.86</v>
      </c>
      <c r="F90" s="1163">
        <f>TRUNC((D90*E90),2)</f>
        <v>1.38</v>
      </c>
      <c r="H90" s="257"/>
    </row>
    <row r="91" spans="1:8">
      <c r="A91" s="231">
        <v>20083</v>
      </c>
      <c r="B91" s="211" t="s">
        <v>126</v>
      </c>
      <c r="C91" s="183" t="s">
        <v>55</v>
      </c>
      <c r="D91" s="243">
        <v>2.1999999999999999E-2</v>
      </c>
      <c r="E91" s="1287">
        <v>87.08</v>
      </c>
      <c r="F91" s="1163">
        <f>TRUNC((D91*E91),2)</f>
        <v>1.91</v>
      </c>
    </row>
    <row r="92" spans="1:8">
      <c r="A92" s="231">
        <v>38383</v>
      </c>
      <c r="B92" s="211" t="s">
        <v>171</v>
      </c>
      <c r="C92" s="183" t="s">
        <v>55</v>
      </c>
      <c r="D92" s="243">
        <v>2.4E-2</v>
      </c>
      <c r="E92" s="1257">
        <v>2.5299999999999998</v>
      </c>
      <c r="F92" s="1163">
        <f>TRUNC((D92*E92),2)</f>
        <v>0.06</v>
      </c>
    </row>
    <row r="93" spans="1:8" ht="15.75" thickBot="1">
      <c r="A93" s="100"/>
      <c r="B93" s="196"/>
      <c r="C93" s="1120"/>
      <c r="D93" s="251"/>
      <c r="E93" s="252" t="s">
        <v>58</v>
      </c>
      <c r="F93" s="218">
        <f>SUM(F89:F92)</f>
        <v>9.6</v>
      </c>
    </row>
    <row r="94" spans="1:8" ht="15.75" thickBot="1">
      <c r="A94" s="982"/>
      <c r="B94" s="2014" t="s">
        <v>53</v>
      </c>
      <c r="C94" s="2014"/>
      <c r="D94" s="2014"/>
      <c r="E94" s="2014"/>
      <c r="F94" s="983">
        <f>F87+F93</f>
        <v>12.82</v>
      </c>
    </row>
    <row r="95" spans="1:8" ht="15.75" thickBot="1"/>
    <row r="96" spans="1:8" ht="38.25">
      <c r="A96" s="230" t="s">
        <v>476</v>
      </c>
      <c r="B96" s="130" t="s">
        <v>260</v>
      </c>
      <c r="C96" s="236" t="s">
        <v>55</v>
      </c>
      <c r="D96" s="72"/>
      <c r="E96" s="73"/>
      <c r="F96" s="124"/>
      <c r="H96" s="234"/>
    </row>
    <row r="97" spans="1:9">
      <c r="A97" s="2000" t="s">
        <v>1796</v>
      </c>
      <c r="B97" s="2001"/>
      <c r="C97" s="2001"/>
      <c r="D97" s="2001"/>
      <c r="E97" s="2001"/>
      <c r="F97" s="2002"/>
    </row>
    <row r="98" spans="1:9" ht="25.5">
      <c r="A98" s="131"/>
      <c r="B98" s="237" t="s">
        <v>56</v>
      </c>
      <c r="C98" s="238" t="s">
        <v>49</v>
      </c>
      <c r="D98" s="239" t="s">
        <v>50</v>
      </c>
      <c r="E98" s="240" t="s">
        <v>62</v>
      </c>
      <c r="F98" s="241" t="s">
        <v>52</v>
      </c>
    </row>
    <row r="99" spans="1:9" ht="25.5">
      <c r="A99" s="231" t="s">
        <v>461</v>
      </c>
      <c r="B99" s="242" t="s">
        <v>101</v>
      </c>
      <c r="C99" s="183" t="s">
        <v>57</v>
      </c>
      <c r="D99" s="193">
        <v>4.4999999999999998E-2</v>
      </c>
      <c r="E99" s="1257">
        <v>20.16</v>
      </c>
      <c r="F99" s="1163">
        <f>TRUNC((D99*E99),2)</f>
        <v>0.9</v>
      </c>
    </row>
    <row r="100" spans="1:9" ht="25.5">
      <c r="A100" s="231" t="s">
        <v>462</v>
      </c>
      <c r="B100" s="242" t="s">
        <v>102</v>
      </c>
      <c r="C100" s="183" t="s">
        <v>57</v>
      </c>
      <c r="D100" s="193">
        <v>4.4999999999999998E-2</v>
      </c>
      <c r="E100" s="1257">
        <v>24.64</v>
      </c>
      <c r="F100" s="1163">
        <f>TRUNC((D100*E100),2)</f>
        <v>1.1000000000000001</v>
      </c>
    </row>
    <row r="101" spans="1:9">
      <c r="A101" s="1164"/>
      <c r="B101" s="947"/>
      <c r="C101" s="183" t="s">
        <v>42</v>
      </c>
      <c r="D101" s="244" t="s">
        <v>42</v>
      </c>
      <c r="E101" s="245" t="s">
        <v>58</v>
      </c>
      <c r="F101" s="1165">
        <f>SUM(F99:F100)</f>
        <v>2</v>
      </c>
    </row>
    <row r="102" spans="1:9" ht="25.5">
      <c r="A102" s="1164"/>
      <c r="B102" s="1166" t="s">
        <v>95</v>
      </c>
      <c r="C102" s="197" t="s">
        <v>49</v>
      </c>
      <c r="D102" s="246" t="s">
        <v>50</v>
      </c>
      <c r="E102" s="247" t="s">
        <v>62</v>
      </c>
      <c r="F102" s="1165" t="s">
        <v>52</v>
      </c>
      <c r="H102" s="257"/>
      <c r="I102" s="257"/>
    </row>
    <row r="103" spans="1:9" ht="25.5">
      <c r="A103" s="231">
        <v>20085</v>
      </c>
      <c r="B103" s="98" t="s">
        <v>1795</v>
      </c>
      <c r="C103" s="183" t="s">
        <v>55</v>
      </c>
      <c r="D103" s="243">
        <v>1</v>
      </c>
      <c r="E103" s="1287">
        <v>2.59</v>
      </c>
      <c r="F103" s="1163">
        <f>TRUNC((D103*E103),2)</f>
        <v>2.59</v>
      </c>
      <c r="H103" s="255"/>
      <c r="I103" s="565"/>
    </row>
    <row r="104" spans="1:9" ht="38.25">
      <c r="A104" s="231">
        <v>20078</v>
      </c>
      <c r="B104" s="98" t="s">
        <v>1794</v>
      </c>
      <c r="C104" s="183" t="s">
        <v>55</v>
      </c>
      <c r="D104" s="193">
        <v>0.02</v>
      </c>
      <c r="E104" s="1287">
        <v>31.72</v>
      </c>
      <c r="F104" s="1163">
        <f>TRUNC((D104*E104),2)</f>
        <v>0.63</v>
      </c>
      <c r="H104" s="255"/>
      <c r="I104" s="565"/>
    </row>
    <row r="105" spans="1:9" ht="24.75" customHeight="1">
      <c r="A105" s="231">
        <v>813</v>
      </c>
      <c r="B105" s="98" t="s">
        <v>1797</v>
      </c>
      <c r="C105" s="183" t="s">
        <v>55</v>
      </c>
      <c r="D105" s="243">
        <v>1</v>
      </c>
      <c r="E105" s="1257">
        <v>6.34</v>
      </c>
      <c r="F105" s="1163">
        <f>TRUNC((D105*E105),2)</f>
        <v>6.34</v>
      </c>
      <c r="H105" s="255"/>
      <c r="I105" s="565"/>
    </row>
    <row r="106" spans="1:9" ht="15.75" thickBot="1">
      <c r="A106" s="100"/>
      <c r="B106" s="196"/>
      <c r="C106" s="1120"/>
      <c r="D106" s="251"/>
      <c r="E106" s="252" t="s">
        <v>58</v>
      </c>
      <c r="F106" s="218">
        <f>SUM(F103:F105)</f>
        <v>9.5599999999999987</v>
      </c>
      <c r="H106" s="255"/>
      <c r="I106" s="565"/>
    </row>
    <row r="107" spans="1:9" ht="15.75" thickBot="1">
      <c r="A107" s="84"/>
      <c r="B107" s="2023" t="s">
        <v>53</v>
      </c>
      <c r="C107" s="2023"/>
      <c r="D107" s="2023"/>
      <c r="E107" s="2023"/>
      <c r="F107" s="299">
        <f>F101+F106</f>
        <v>11.559999999999999</v>
      </c>
      <c r="H107" s="255"/>
      <c r="I107" s="565"/>
    </row>
    <row r="108" spans="1:9" ht="15.75" thickBot="1"/>
    <row r="109" spans="1:9" ht="25.5">
      <c r="A109" s="230" t="s">
        <v>478</v>
      </c>
      <c r="B109" s="130" t="s">
        <v>263</v>
      </c>
      <c r="C109" s="236" t="s">
        <v>55</v>
      </c>
      <c r="D109" s="72"/>
      <c r="E109" s="73"/>
      <c r="F109" s="124"/>
      <c r="G109" s="234"/>
      <c r="H109" s="234"/>
    </row>
    <row r="110" spans="1:9">
      <c r="A110" s="2000" t="s">
        <v>1801</v>
      </c>
      <c r="B110" s="2001"/>
      <c r="C110" s="2001"/>
      <c r="D110" s="2001"/>
      <c r="E110" s="2001"/>
      <c r="F110" s="2002"/>
    </row>
    <row r="111" spans="1:9" ht="25.5">
      <c r="A111" s="131"/>
      <c r="B111" s="237" t="s">
        <v>56</v>
      </c>
      <c r="C111" s="238" t="s">
        <v>49</v>
      </c>
      <c r="D111" s="239" t="s">
        <v>50</v>
      </c>
      <c r="E111" s="240" t="s">
        <v>62</v>
      </c>
      <c r="F111" s="241" t="s">
        <v>52</v>
      </c>
    </row>
    <row r="112" spans="1:9" ht="25.5">
      <c r="A112" s="231" t="s">
        <v>461</v>
      </c>
      <c r="B112" s="242" t="s">
        <v>101</v>
      </c>
      <c r="C112" s="183" t="s">
        <v>57</v>
      </c>
      <c r="D112" s="243">
        <v>0.20899999999999999</v>
      </c>
      <c r="E112" s="1257">
        <v>20.16</v>
      </c>
      <c r="F112" s="1163">
        <f>TRUNC((D112*E112),2)</f>
        <v>4.21</v>
      </c>
    </row>
    <row r="113" spans="1:11" ht="25.5">
      <c r="A113" s="231" t="s">
        <v>462</v>
      </c>
      <c r="B113" s="242" t="s">
        <v>102</v>
      </c>
      <c r="C113" s="183" t="s">
        <v>57</v>
      </c>
      <c r="D113" s="243">
        <v>0.20899999999999999</v>
      </c>
      <c r="E113" s="1257">
        <v>24.64</v>
      </c>
      <c r="F113" s="1163">
        <f>TRUNC((D113*E113),2)</f>
        <v>5.14</v>
      </c>
    </row>
    <row r="114" spans="1:11">
      <c r="A114" s="1164"/>
      <c r="B114" s="947"/>
      <c r="C114" s="183" t="s">
        <v>42</v>
      </c>
      <c r="D114" s="244" t="s">
        <v>42</v>
      </c>
      <c r="E114" s="245" t="s">
        <v>58</v>
      </c>
      <c r="F114" s="1165">
        <f>SUM(F112:F113)</f>
        <v>9.35</v>
      </c>
    </row>
    <row r="115" spans="1:11" ht="25.5">
      <c r="A115" s="1164"/>
      <c r="B115" s="1166" t="s">
        <v>95</v>
      </c>
      <c r="C115" s="197" t="s">
        <v>49</v>
      </c>
      <c r="D115" s="246" t="s">
        <v>50</v>
      </c>
      <c r="E115" s="247" t="s">
        <v>62</v>
      </c>
      <c r="F115" s="1165" t="s">
        <v>52</v>
      </c>
      <c r="H115" s="257"/>
    </row>
    <row r="116" spans="1:11">
      <c r="A116" s="231">
        <v>122</v>
      </c>
      <c r="B116" s="211" t="s">
        <v>125</v>
      </c>
      <c r="C116" s="183" t="s">
        <v>55</v>
      </c>
      <c r="D116" s="243">
        <v>0.06</v>
      </c>
      <c r="E116" s="1287">
        <v>76.86</v>
      </c>
      <c r="F116" s="1163">
        <f>TRUNC((D116*E116),2)</f>
        <v>4.6100000000000003</v>
      </c>
      <c r="H116" s="257"/>
    </row>
    <row r="117" spans="1:11" ht="25.5">
      <c r="A117" s="231">
        <v>7129</v>
      </c>
      <c r="B117" s="211" t="s">
        <v>485</v>
      </c>
      <c r="C117" s="183" t="s">
        <v>55</v>
      </c>
      <c r="D117" s="243">
        <v>1</v>
      </c>
      <c r="E117" s="1287">
        <v>14.27</v>
      </c>
      <c r="F117" s="1163">
        <f>TRUNC((D117*E117),2)</f>
        <v>14.27</v>
      </c>
      <c r="H117" s="257"/>
    </row>
    <row r="118" spans="1:11">
      <c r="A118" s="231">
        <v>20083</v>
      </c>
      <c r="B118" s="211" t="s">
        <v>126</v>
      </c>
      <c r="C118" s="183" t="s">
        <v>55</v>
      </c>
      <c r="D118" s="243">
        <v>7.8E-2</v>
      </c>
      <c r="E118" s="1287">
        <v>87.08</v>
      </c>
      <c r="F118" s="1163">
        <f>TRUNC((D118*E118),2)</f>
        <v>6.79</v>
      </c>
      <c r="H118" s="257"/>
    </row>
    <row r="119" spans="1:11">
      <c r="A119" s="231">
        <v>38383</v>
      </c>
      <c r="B119" s="211" t="s">
        <v>171</v>
      </c>
      <c r="C119" s="183" t="s">
        <v>55</v>
      </c>
      <c r="D119" s="243">
        <v>5.2999999999999999E-2</v>
      </c>
      <c r="E119" s="1257">
        <v>2.5299999999999998</v>
      </c>
      <c r="F119" s="1163">
        <f>TRUNC((D119*E119),2)</f>
        <v>0.13</v>
      </c>
      <c r="H119" s="257"/>
    </row>
    <row r="120" spans="1:11" ht="15.75" thickBot="1">
      <c r="A120" s="100"/>
      <c r="B120" s="196"/>
      <c r="C120" s="1120"/>
      <c r="D120" s="251"/>
      <c r="E120" s="252" t="s">
        <v>58</v>
      </c>
      <c r="F120" s="218">
        <f>SUM(F116:F119)</f>
        <v>25.799999999999997</v>
      </c>
      <c r="H120" s="257"/>
    </row>
    <row r="121" spans="1:11" ht="15.75" thickBot="1">
      <c r="A121" s="982"/>
      <c r="B121" s="2014" t="s">
        <v>53</v>
      </c>
      <c r="C121" s="2014"/>
      <c r="D121" s="2014"/>
      <c r="E121" s="2014"/>
      <c r="F121" s="983">
        <f>F114+F120</f>
        <v>35.15</v>
      </c>
      <c r="H121" s="257"/>
    </row>
    <row r="122" spans="1:11" ht="15.75" thickBot="1">
      <c r="I122" s="200"/>
      <c r="J122" s="200"/>
      <c r="K122" s="200"/>
    </row>
    <row r="123" spans="1:11" ht="26.25" customHeight="1">
      <c r="A123" s="230" t="s">
        <v>479</v>
      </c>
      <c r="B123" s="130" t="s">
        <v>495</v>
      </c>
      <c r="C123" s="236" t="s">
        <v>55</v>
      </c>
      <c r="D123" s="72"/>
      <c r="E123" s="73"/>
      <c r="F123" s="124"/>
      <c r="H123" s="234"/>
      <c r="I123" s="560"/>
      <c r="J123" s="560"/>
      <c r="K123" s="560"/>
    </row>
    <row r="124" spans="1:11" ht="15" customHeight="1">
      <c r="A124" s="2000" t="s">
        <v>472</v>
      </c>
      <c r="B124" s="2001"/>
      <c r="C124" s="2001"/>
      <c r="D124" s="2001"/>
      <c r="E124" s="2001"/>
      <c r="F124" s="2002"/>
      <c r="I124" s="560"/>
      <c r="J124" s="560"/>
      <c r="K124" s="560"/>
    </row>
    <row r="125" spans="1:11" ht="25.5">
      <c r="A125" s="131"/>
      <c r="B125" s="237" t="s">
        <v>56</v>
      </c>
      <c r="C125" s="238" t="s">
        <v>49</v>
      </c>
      <c r="D125" s="239" t="s">
        <v>50</v>
      </c>
      <c r="E125" s="240" t="s">
        <v>62</v>
      </c>
      <c r="F125" s="241" t="s">
        <v>52</v>
      </c>
      <c r="I125" s="560"/>
      <c r="J125" s="560"/>
      <c r="K125" s="560"/>
    </row>
    <row r="126" spans="1:11" ht="25.5">
      <c r="A126" s="231" t="s">
        <v>461</v>
      </c>
      <c r="B126" s="242" t="s">
        <v>101</v>
      </c>
      <c r="C126" s="183" t="s">
        <v>57</v>
      </c>
      <c r="D126" s="261">
        <v>0.20899999999999999</v>
      </c>
      <c r="E126" s="1257">
        <v>20.16</v>
      </c>
      <c r="F126" s="1163">
        <f>TRUNC((D126*E126),2)</f>
        <v>4.21</v>
      </c>
      <c r="I126" s="200"/>
      <c r="J126" s="200"/>
      <c r="K126" s="200"/>
    </row>
    <row r="127" spans="1:11" ht="25.5">
      <c r="A127" s="231" t="s">
        <v>462</v>
      </c>
      <c r="B127" s="242" t="s">
        <v>102</v>
      </c>
      <c r="C127" s="183" t="s">
        <v>57</v>
      </c>
      <c r="D127" s="261">
        <v>0.20899999999999999</v>
      </c>
      <c r="E127" s="1257">
        <v>24.64</v>
      </c>
      <c r="F127" s="1163">
        <f>TRUNC((D127*E127),2)</f>
        <v>5.14</v>
      </c>
    </row>
    <row r="128" spans="1:11">
      <c r="A128" s="1164"/>
      <c r="B128" s="947"/>
      <c r="C128" s="183" t="s">
        <v>42</v>
      </c>
      <c r="D128" s="244" t="s">
        <v>42</v>
      </c>
      <c r="E128" s="245" t="s">
        <v>58</v>
      </c>
      <c r="F128" s="1165">
        <f>SUM(F126:F127)</f>
        <v>9.35</v>
      </c>
      <c r="H128" s="565"/>
      <c r="I128" s="255"/>
      <c r="J128" s="255"/>
    </row>
    <row r="129" spans="1:10" ht="25.5">
      <c r="A129" s="1164"/>
      <c r="B129" s="1166" t="s">
        <v>95</v>
      </c>
      <c r="C129" s="197" t="s">
        <v>49</v>
      </c>
      <c r="D129" s="246" t="s">
        <v>50</v>
      </c>
      <c r="E129" s="247" t="s">
        <v>62</v>
      </c>
      <c r="F129" s="1165" t="s">
        <v>52</v>
      </c>
      <c r="H129" s="565"/>
      <c r="I129" s="255"/>
      <c r="J129" s="255"/>
    </row>
    <row r="130" spans="1:10" ht="25.5">
      <c r="A130" s="231">
        <v>7142</v>
      </c>
      <c r="B130" s="211" t="s">
        <v>496</v>
      </c>
      <c r="C130" s="183" t="s">
        <v>55</v>
      </c>
      <c r="D130" s="243">
        <v>1</v>
      </c>
      <c r="E130" s="1287">
        <v>13.52</v>
      </c>
      <c r="F130" s="1163">
        <f>TRUNC((D130*E130),2)</f>
        <v>13.52</v>
      </c>
      <c r="H130" s="565"/>
      <c r="I130" s="255"/>
      <c r="J130" s="255"/>
    </row>
    <row r="131" spans="1:10">
      <c r="A131" s="231">
        <v>122</v>
      </c>
      <c r="B131" s="211" t="s">
        <v>125</v>
      </c>
      <c r="C131" s="183" t="s">
        <v>55</v>
      </c>
      <c r="D131" s="193">
        <v>0.06</v>
      </c>
      <c r="E131" s="1287">
        <v>76.86</v>
      </c>
      <c r="F131" s="1163">
        <f>TRUNC((D131*E131),2)</f>
        <v>4.6100000000000003</v>
      </c>
      <c r="H131" s="565"/>
      <c r="I131" s="255"/>
      <c r="J131" s="255"/>
    </row>
    <row r="132" spans="1:10">
      <c r="A132" s="231">
        <v>20083</v>
      </c>
      <c r="B132" s="211" t="s">
        <v>126</v>
      </c>
      <c r="C132" s="183" t="s">
        <v>55</v>
      </c>
      <c r="D132" s="193">
        <v>7.8E-2</v>
      </c>
      <c r="E132" s="1287">
        <v>87.08</v>
      </c>
      <c r="F132" s="1163">
        <f>TRUNC((D132*E132),2)</f>
        <v>6.79</v>
      </c>
      <c r="H132" s="565"/>
      <c r="I132" s="255"/>
      <c r="J132" s="255"/>
    </row>
    <row r="133" spans="1:10">
      <c r="A133" s="231">
        <v>38383</v>
      </c>
      <c r="B133" s="211" t="s">
        <v>171</v>
      </c>
      <c r="C133" s="183" t="s">
        <v>55</v>
      </c>
      <c r="D133" s="193">
        <v>5.2999999999999999E-2</v>
      </c>
      <c r="E133" s="1257">
        <v>2.5299999999999998</v>
      </c>
      <c r="F133" s="1163">
        <f>TRUNC((D133*E133),2)</f>
        <v>0.13</v>
      </c>
      <c r="H133" s="565"/>
      <c r="I133" s="255"/>
      <c r="J133" s="255"/>
    </row>
    <row r="134" spans="1:10" ht="15.75" thickBot="1">
      <c r="A134" s="100"/>
      <c r="B134" s="196"/>
      <c r="C134" s="1120"/>
      <c r="D134" s="251"/>
      <c r="E134" s="252" t="s">
        <v>58</v>
      </c>
      <c r="F134" s="218">
        <f>SUM(F130:F133)</f>
        <v>25.049999999999997</v>
      </c>
    </row>
    <row r="135" spans="1:10" ht="15.75" thickBot="1">
      <c r="A135" s="982"/>
      <c r="B135" s="2014" t="s">
        <v>53</v>
      </c>
      <c r="C135" s="2014"/>
      <c r="D135" s="2014"/>
      <c r="E135" s="2014"/>
      <c r="F135" s="983">
        <f>F128+F134</f>
        <v>34.4</v>
      </c>
    </row>
    <row r="136" spans="1:10" ht="15.75" thickBot="1"/>
    <row r="137" spans="1:10" ht="41.25" customHeight="1">
      <c r="A137" s="230" t="s">
        <v>482</v>
      </c>
      <c r="B137" s="130" t="s">
        <v>1800</v>
      </c>
      <c r="C137" s="236" t="s">
        <v>55</v>
      </c>
      <c r="D137" s="72"/>
      <c r="E137" s="73"/>
      <c r="F137" s="124"/>
      <c r="G137" s="234"/>
      <c r="H137" s="234"/>
    </row>
    <row r="138" spans="1:10">
      <c r="A138" s="2000" t="s">
        <v>1799</v>
      </c>
      <c r="B138" s="2001"/>
      <c r="C138" s="2001"/>
      <c r="D138" s="2001"/>
      <c r="E138" s="2001"/>
      <c r="F138" s="2002"/>
    </row>
    <row r="139" spans="1:10" ht="25.5">
      <c r="A139" s="131"/>
      <c r="B139" s="237" t="s">
        <v>56</v>
      </c>
      <c r="C139" s="238" t="s">
        <v>49</v>
      </c>
      <c r="D139" s="239" t="s">
        <v>50</v>
      </c>
      <c r="E139" s="240" t="s">
        <v>62</v>
      </c>
      <c r="F139" s="241" t="s">
        <v>52</v>
      </c>
    </row>
    <row r="140" spans="1:10" ht="25.5">
      <c r="A140" s="231" t="s">
        <v>461</v>
      </c>
      <c r="B140" s="242" t="s">
        <v>101</v>
      </c>
      <c r="C140" s="183" t="s">
        <v>57</v>
      </c>
      <c r="D140" s="243">
        <v>0.5</v>
      </c>
      <c r="E140" s="1257">
        <v>20.16</v>
      </c>
      <c r="F140" s="1163">
        <f>TRUNC((D140*E140),2)</f>
        <v>10.08</v>
      </c>
    </row>
    <row r="141" spans="1:10" ht="25.5">
      <c r="A141" s="231" t="s">
        <v>462</v>
      </c>
      <c r="B141" s="242" t="s">
        <v>102</v>
      </c>
      <c r="C141" s="183" t="s">
        <v>57</v>
      </c>
      <c r="D141" s="243">
        <v>0.5</v>
      </c>
      <c r="E141" s="1257">
        <v>24.64</v>
      </c>
      <c r="F141" s="1163">
        <f>TRUNC((D141*E141),2)</f>
        <v>12.32</v>
      </c>
    </row>
    <row r="142" spans="1:10">
      <c r="A142" s="206">
        <v>88309</v>
      </c>
      <c r="B142" s="995" t="s">
        <v>103</v>
      </c>
      <c r="C142" s="183" t="s">
        <v>57</v>
      </c>
      <c r="D142" s="243">
        <v>1</v>
      </c>
      <c r="E142" s="1287">
        <v>24.59</v>
      </c>
      <c r="F142" s="1163">
        <f>TRUNC((D142*E142),2)</f>
        <v>24.59</v>
      </c>
    </row>
    <row r="143" spans="1:10">
      <c r="A143" s="940">
        <v>88316</v>
      </c>
      <c r="B143" s="474" t="s">
        <v>66</v>
      </c>
      <c r="C143" s="183" t="s">
        <v>57</v>
      </c>
      <c r="D143" s="243">
        <v>1</v>
      </c>
      <c r="E143" s="1287">
        <v>19.45</v>
      </c>
      <c r="F143" s="1163">
        <f>TRUNC((D143*E143),2)</f>
        <v>19.45</v>
      </c>
    </row>
    <row r="144" spans="1:10">
      <c r="A144" s="1164"/>
      <c r="B144" s="947"/>
      <c r="C144" s="183" t="s">
        <v>42</v>
      </c>
      <c r="D144" s="244" t="s">
        <v>42</v>
      </c>
      <c r="E144" s="245" t="s">
        <v>58</v>
      </c>
      <c r="F144" s="1165">
        <f>SUM(F140:F143)</f>
        <v>66.44</v>
      </c>
      <c r="H144" s="257"/>
    </row>
    <row r="145" spans="1:8" ht="25.5">
      <c r="A145" s="1164"/>
      <c r="B145" s="1166" t="s">
        <v>95</v>
      </c>
      <c r="C145" s="197" t="s">
        <v>49</v>
      </c>
      <c r="D145" s="246" t="s">
        <v>50</v>
      </c>
      <c r="E145" s="247" t="s">
        <v>62</v>
      </c>
      <c r="F145" s="1165" t="s">
        <v>52</v>
      </c>
      <c r="H145" s="257"/>
    </row>
    <row r="146" spans="1:8" ht="38.25">
      <c r="A146" s="231">
        <v>11694</v>
      </c>
      <c r="B146" s="98" t="s">
        <v>1798</v>
      </c>
      <c r="C146" s="183" t="s">
        <v>55</v>
      </c>
      <c r="D146" s="243">
        <v>1</v>
      </c>
      <c r="E146" s="1287">
        <v>1214.68</v>
      </c>
      <c r="F146" s="1163">
        <f>TRUNC((D146*E146),2)</f>
        <v>1214.68</v>
      </c>
      <c r="H146" s="257"/>
    </row>
    <row r="147" spans="1:8" ht="15.75" thickBot="1">
      <c r="A147" s="100"/>
      <c r="B147" s="196"/>
      <c r="C147" s="1120"/>
      <c r="D147" s="251"/>
      <c r="E147" s="252" t="s">
        <v>58</v>
      </c>
      <c r="F147" s="218">
        <f>SUM(F146:F146)</f>
        <v>1214.68</v>
      </c>
      <c r="H147" s="257"/>
    </row>
    <row r="148" spans="1:8" ht="15.75" thickBot="1">
      <c r="A148" s="982"/>
      <c r="B148" s="2014" t="s">
        <v>53</v>
      </c>
      <c r="C148" s="2014"/>
      <c r="D148" s="2014"/>
      <c r="E148" s="2014"/>
      <c r="F148" s="983">
        <f>F144+F147</f>
        <v>1281.1200000000001</v>
      </c>
    </row>
    <row r="149" spans="1:8" ht="15.75" thickBot="1"/>
    <row r="150" spans="1:8" ht="28.5" customHeight="1">
      <c r="A150" s="230" t="s">
        <v>483</v>
      </c>
      <c r="B150" s="130" t="s">
        <v>1822</v>
      </c>
      <c r="C150" s="236" t="s">
        <v>55</v>
      </c>
      <c r="D150" s="72"/>
      <c r="E150" s="73"/>
      <c r="F150" s="124"/>
      <c r="G150" s="234"/>
      <c r="H150" s="234"/>
    </row>
    <row r="151" spans="1:8">
      <c r="A151" s="2000" t="s">
        <v>1823</v>
      </c>
      <c r="B151" s="2001"/>
      <c r="C151" s="2001"/>
      <c r="D151" s="2001"/>
      <c r="E151" s="2001"/>
      <c r="F151" s="2002"/>
    </row>
    <row r="152" spans="1:8" ht="25.5">
      <c r="A152" s="131"/>
      <c r="B152" s="237" t="s">
        <v>56</v>
      </c>
      <c r="C152" s="238" t="s">
        <v>49</v>
      </c>
      <c r="D152" s="239" t="s">
        <v>50</v>
      </c>
      <c r="E152" s="240" t="s">
        <v>62</v>
      </c>
      <c r="F152" s="241" t="s">
        <v>52</v>
      </c>
    </row>
    <row r="153" spans="1:8" ht="25.5">
      <c r="A153" s="231" t="s">
        <v>461</v>
      </c>
      <c r="B153" s="242" t="s">
        <v>101</v>
      </c>
      <c r="C153" s="183" t="s">
        <v>57</v>
      </c>
      <c r="D153" s="243">
        <v>0.4</v>
      </c>
      <c r="E153" s="1257">
        <v>20.16</v>
      </c>
      <c r="F153" s="1163">
        <f>TRUNC((D153*E153),2)</f>
        <v>8.06</v>
      </c>
    </row>
    <row r="154" spans="1:8" ht="25.5">
      <c r="A154" s="231" t="s">
        <v>462</v>
      </c>
      <c r="B154" s="242" t="s">
        <v>102</v>
      </c>
      <c r="C154" s="183" t="s">
        <v>57</v>
      </c>
      <c r="D154" s="243">
        <v>0.4</v>
      </c>
      <c r="E154" s="1257">
        <v>24.64</v>
      </c>
      <c r="F154" s="1163">
        <f>TRUNC((D154*E154),2)</f>
        <v>9.85</v>
      </c>
    </row>
    <row r="155" spans="1:8">
      <c r="A155" s="1164"/>
      <c r="B155" s="947"/>
      <c r="C155" s="183" t="s">
        <v>42</v>
      </c>
      <c r="D155" s="244" t="s">
        <v>42</v>
      </c>
      <c r="E155" s="245" t="s">
        <v>58</v>
      </c>
      <c r="F155" s="1165">
        <f>SUM(F153:F154)</f>
        <v>17.91</v>
      </c>
    </row>
    <row r="156" spans="1:8" ht="25.5">
      <c r="A156" s="1164"/>
      <c r="B156" s="1166" t="s">
        <v>95</v>
      </c>
      <c r="C156" s="197" t="s">
        <v>49</v>
      </c>
      <c r="D156" s="246" t="s">
        <v>50</v>
      </c>
      <c r="E156" s="247" t="s">
        <v>62</v>
      </c>
      <c r="F156" s="1165" t="s">
        <v>52</v>
      </c>
    </row>
    <row r="157" spans="1:8" ht="30.75" customHeight="1" thickBot="1">
      <c r="A157" s="1178">
        <v>6142</v>
      </c>
      <c r="B157" s="984" t="s">
        <v>1824</v>
      </c>
      <c r="C157" s="1171" t="s">
        <v>55</v>
      </c>
      <c r="D157" s="1179">
        <v>1</v>
      </c>
      <c r="E157" s="1288">
        <v>10.39</v>
      </c>
      <c r="F157" s="1173">
        <f>TRUNC((D157*E157),2)</f>
        <v>10.39</v>
      </c>
    </row>
    <row r="158" spans="1:8" ht="15.75" thickBot="1">
      <c r="A158" s="1180"/>
      <c r="B158" s="1181"/>
      <c r="C158" s="1121"/>
      <c r="D158" s="1182"/>
      <c r="E158" s="1183" t="s">
        <v>58</v>
      </c>
      <c r="F158" s="1184">
        <f>SUM(F157:F157)</f>
        <v>10.39</v>
      </c>
    </row>
    <row r="159" spans="1:8" ht="15.75" thickBot="1">
      <c r="A159" s="982"/>
      <c r="B159" s="2014" t="s">
        <v>53</v>
      </c>
      <c r="C159" s="2014"/>
      <c r="D159" s="2014"/>
      <c r="E159" s="2014"/>
      <c r="F159" s="983">
        <f>F155+F158</f>
        <v>28.3</v>
      </c>
    </row>
    <row r="160" spans="1:8" ht="15.75" thickBot="1"/>
    <row r="161" spans="1:8" ht="18.75" customHeight="1">
      <c r="A161" s="230" t="s">
        <v>484</v>
      </c>
      <c r="B161" s="285" t="s">
        <v>1819</v>
      </c>
      <c r="C161" s="236" t="s">
        <v>55</v>
      </c>
      <c r="D161" s="72"/>
      <c r="E161" s="73"/>
      <c r="F161" s="124"/>
      <c r="G161" s="234"/>
      <c r="H161" s="234"/>
    </row>
    <row r="162" spans="1:8">
      <c r="A162" s="2000" t="s">
        <v>1821</v>
      </c>
      <c r="B162" s="2001"/>
      <c r="C162" s="2001"/>
      <c r="D162" s="2001"/>
      <c r="E162" s="2001"/>
      <c r="F162" s="2002"/>
    </row>
    <row r="163" spans="1:8" ht="25.5">
      <c r="A163" s="131"/>
      <c r="B163" s="237" t="s">
        <v>56</v>
      </c>
      <c r="C163" s="238" t="s">
        <v>49</v>
      </c>
      <c r="D163" s="239" t="s">
        <v>50</v>
      </c>
      <c r="E163" s="240" t="s">
        <v>62</v>
      </c>
      <c r="F163" s="241" t="s">
        <v>52</v>
      </c>
    </row>
    <row r="164" spans="1:8" ht="25.5">
      <c r="A164" s="231" t="s">
        <v>461</v>
      </c>
      <c r="B164" s="242" t="s">
        <v>101</v>
      </c>
      <c r="C164" s="183" t="s">
        <v>57</v>
      </c>
      <c r="D164" s="243">
        <v>0.5</v>
      </c>
      <c r="E164" s="1257">
        <v>20.16</v>
      </c>
      <c r="F164" s="1163">
        <f>TRUNC((D164*E164),2)</f>
        <v>10.08</v>
      </c>
    </row>
    <row r="165" spans="1:8" ht="25.5">
      <c r="A165" s="231" t="s">
        <v>462</v>
      </c>
      <c r="B165" s="242" t="s">
        <v>102</v>
      </c>
      <c r="C165" s="183" t="s">
        <v>57</v>
      </c>
      <c r="D165" s="243">
        <v>0.5</v>
      </c>
      <c r="E165" s="1257">
        <v>24.64</v>
      </c>
      <c r="F165" s="1163">
        <f>TRUNC((D165*E165),2)</f>
        <v>12.32</v>
      </c>
    </row>
    <row r="166" spans="1:8">
      <c r="A166" s="1164"/>
      <c r="B166" s="947"/>
      <c r="C166" s="183" t="s">
        <v>42</v>
      </c>
      <c r="D166" s="244" t="s">
        <v>42</v>
      </c>
      <c r="E166" s="245" t="s">
        <v>58</v>
      </c>
      <c r="F166" s="1165">
        <f>SUM(F164:F165)</f>
        <v>22.4</v>
      </c>
    </row>
    <row r="167" spans="1:8" ht="25.5">
      <c r="A167" s="1164"/>
      <c r="B167" s="1166" t="s">
        <v>95</v>
      </c>
      <c r="C167" s="197" t="s">
        <v>49</v>
      </c>
      <c r="D167" s="246" t="s">
        <v>50</v>
      </c>
      <c r="E167" s="247" t="s">
        <v>62</v>
      </c>
      <c r="F167" s="1165" t="s">
        <v>52</v>
      </c>
      <c r="H167" s="257"/>
    </row>
    <row r="168" spans="1:8">
      <c r="A168" s="231">
        <v>1370</v>
      </c>
      <c r="B168" s="98" t="s">
        <v>1819</v>
      </c>
      <c r="C168" s="183" t="s">
        <v>55</v>
      </c>
      <c r="D168" s="243">
        <v>1</v>
      </c>
      <c r="E168" s="1287">
        <v>118.7</v>
      </c>
      <c r="F168" s="1163">
        <f>TRUNC((D168*E168),2)</f>
        <v>118.7</v>
      </c>
      <c r="H168" s="257"/>
    </row>
    <row r="169" spans="1:8" ht="15.75" customHeight="1">
      <c r="A169" s="231">
        <v>37459</v>
      </c>
      <c r="B169" s="1133" t="s">
        <v>1820</v>
      </c>
      <c r="C169" s="183" t="s">
        <v>54</v>
      </c>
      <c r="D169" s="258">
        <v>0.28000000000000003</v>
      </c>
      <c r="E169" s="1287">
        <v>9.32</v>
      </c>
      <c r="F169" s="1163">
        <f>TRUNC((D169*E169),2)</f>
        <v>2.6</v>
      </c>
      <c r="H169" s="257"/>
    </row>
    <row r="170" spans="1:8" ht="15.75" thickBot="1">
      <c r="A170" s="100"/>
      <c r="B170" s="196"/>
      <c r="C170" s="1120"/>
      <c r="D170" s="251"/>
      <c r="E170" s="252"/>
      <c r="F170" s="218">
        <f>SUM(F168:F169)</f>
        <v>121.3</v>
      </c>
      <c r="H170" s="257"/>
    </row>
    <row r="171" spans="1:8" ht="15.75" thickBot="1">
      <c r="A171" s="982"/>
      <c r="B171" s="2014" t="s">
        <v>53</v>
      </c>
      <c r="C171" s="2014"/>
      <c r="D171" s="2014"/>
      <c r="E171" s="2014"/>
      <c r="F171" s="983">
        <f>F166+F170</f>
        <v>143.69999999999999</v>
      </c>
    </row>
    <row r="172" spans="1:8" ht="15.75" thickBot="1"/>
    <row r="173" spans="1:8" ht="38.25">
      <c r="A173" s="230" t="s">
        <v>486</v>
      </c>
      <c r="B173" s="130" t="s">
        <v>270</v>
      </c>
      <c r="C173" s="236" t="s">
        <v>55</v>
      </c>
      <c r="D173" s="72"/>
      <c r="E173" s="73"/>
      <c r="F173" s="124"/>
      <c r="G173" s="234"/>
      <c r="H173" s="264" t="s">
        <v>2131</v>
      </c>
    </row>
    <row r="174" spans="1:8" ht="15" customHeight="1">
      <c r="A174" s="2000" t="s">
        <v>1973</v>
      </c>
      <c r="B174" s="2001"/>
      <c r="C174" s="2001"/>
      <c r="D174" s="2001"/>
      <c r="E174" s="2001"/>
      <c r="F174" s="2002"/>
    </row>
    <row r="175" spans="1:8" ht="25.5">
      <c r="A175" s="131"/>
      <c r="B175" s="237" t="s">
        <v>56</v>
      </c>
      <c r="C175" s="238" t="s">
        <v>49</v>
      </c>
      <c r="D175" s="239" t="s">
        <v>50</v>
      </c>
      <c r="E175" s="240" t="s">
        <v>62</v>
      </c>
      <c r="F175" s="241" t="s">
        <v>52</v>
      </c>
    </row>
    <row r="176" spans="1:8" ht="25.5">
      <c r="A176" s="231" t="s">
        <v>461</v>
      </c>
      <c r="B176" s="242" t="s">
        <v>101</v>
      </c>
      <c r="C176" s="183" t="s">
        <v>57</v>
      </c>
      <c r="D176" s="243">
        <v>0.25</v>
      </c>
      <c r="E176" s="1257">
        <v>20.16</v>
      </c>
      <c r="F176" s="1163">
        <f>TRUNC((D176*E176),2)</f>
        <v>5.04</v>
      </c>
    </row>
    <row r="177" spans="1:8" ht="25.5">
      <c r="A177" s="231" t="s">
        <v>462</v>
      </c>
      <c r="B177" s="242" t="s">
        <v>102</v>
      </c>
      <c r="C177" s="183" t="s">
        <v>57</v>
      </c>
      <c r="D177" s="243">
        <v>0.25</v>
      </c>
      <c r="E177" s="1257">
        <v>24.64</v>
      </c>
      <c r="F177" s="1163">
        <f>TRUNC((D177*E177),2)</f>
        <v>6.16</v>
      </c>
    </row>
    <row r="178" spans="1:8">
      <c r="A178" s="1164"/>
      <c r="B178" s="947"/>
      <c r="C178" s="183" t="s">
        <v>42</v>
      </c>
      <c r="D178" s="244" t="s">
        <v>42</v>
      </c>
      <c r="E178" s="245" t="s">
        <v>58</v>
      </c>
      <c r="F178" s="1165">
        <f>SUM(F176:F177)</f>
        <v>11.2</v>
      </c>
    </row>
    <row r="179" spans="1:8" ht="25.5">
      <c r="A179" s="1164"/>
      <c r="B179" s="1166" t="s">
        <v>95</v>
      </c>
      <c r="C179" s="197" t="s">
        <v>49</v>
      </c>
      <c r="D179" s="246" t="s">
        <v>50</v>
      </c>
      <c r="E179" s="247" t="s">
        <v>62</v>
      </c>
      <c r="F179" s="1165" t="s">
        <v>52</v>
      </c>
      <c r="H179" s="257"/>
    </row>
    <row r="180" spans="1:8">
      <c r="A180" s="231">
        <v>122</v>
      </c>
      <c r="B180" s="211" t="s">
        <v>125</v>
      </c>
      <c r="C180" s="183" t="s">
        <v>55</v>
      </c>
      <c r="D180" s="258">
        <v>1.4800000000000001E-2</v>
      </c>
      <c r="E180" s="1287">
        <v>76.86</v>
      </c>
      <c r="F180" s="1163">
        <f t="shared" ref="F180:F185" si="0">TRUNC((D180*E180),2)</f>
        <v>1.1299999999999999</v>
      </c>
      <c r="H180" s="257"/>
    </row>
    <row r="181" spans="1:8" ht="25.5">
      <c r="A181" s="231">
        <v>296</v>
      </c>
      <c r="B181" s="211" t="s">
        <v>487</v>
      </c>
      <c r="C181" s="183" t="s">
        <v>55</v>
      </c>
      <c r="D181" s="243">
        <v>1</v>
      </c>
      <c r="E181" s="1287">
        <v>1.98</v>
      </c>
      <c r="F181" s="1163">
        <f t="shared" si="0"/>
        <v>1.98</v>
      </c>
      <c r="H181" s="257"/>
    </row>
    <row r="182" spans="1:8" ht="25.5">
      <c r="A182" s="231">
        <v>11712</v>
      </c>
      <c r="B182" s="211" t="s">
        <v>1971</v>
      </c>
      <c r="C182" s="183" t="s">
        <v>55</v>
      </c>
      <c r="D182" s="243">
        <v>1</v>
      </c>
      <c r="E182" s="1287">
        <v>49.95</v>
      </c>
      <c r="F182" s="1163">
        <f t="shared" si="0"/>
        <v>49.95</v>
      </c>
      <c r="H182" s="257"/>
    </row>
    <row r="183" spans="1:8" ht="38.25">
      <c r="A183" s="231">
        <v>20078</v>
      </c>
      <c r="B183" s="211" t="s">
        <v>1972</v>
      </c>
      <c r="C183" s="183" t="s">
        <v>55</v>
      </c>
      <c r="D183" s="243">
        <v>0.02</v>
      </c>
      <c r="E183" s="1287">
        <v>31.72</v>
      </c>
      <c r="F183" s="1163">
        <f t="shared" si="0"/>
        <v>0.63</v>
      </c>
      <c r="H183" s="602"/>
    </row>
    <row r="184" spans="1:8">
      <c r="A184" s="231">
        <v>20083</v>
      </c>
      <c r="B184" s="211" t="s">
        <v>126</v>
      </c>
      <c r="C184" s="183" t="s">
        <v>55</v>
      </c>
      <c r="D184" s="258">
        <v>2.2499999999999999E-2</v>
      </c>
      <c r="E184" s="1287">
        <v>87.08</v>
      </c>
      <c r="F184" s="1163">
        <f t="shared" si="0"/>
        <v>1.95</v>
      </c>
      <c r="H184" s="602"/>
    </row>
    <row r="185" spans="1:8">
      <c r="A185" s="231">
        <v>38383</v>
      </c>
      <c r="B185" s="211" t="s">
        <v>171</v>
      </c>
      <c r="C185" s="183" t="s">
        <v>55</v>
      </c>
      <c r="D185" s="243">
        <v>6.4000000000000001E-2</v>
      </c>
      <c r="E185" s="1257">
        <v>2.5299999999999998</v>
      </c>
      <c r="F185" s="1163">
        <f t="shared" si="0"/>
        <v>0.16</v>
      </c>
      <c r="H185" s="603"/>
    </row>
    <row r="186" spans="1:8" ht="15.75" thickBot="1">
      <c r="A186" s="100"/>
      <c r="B186" s="196"/>
      <c r="C186" s="1120"/>
      <c r="D186" s="251"/>
      <c r="E186" s="252" t="s">
        <v>58</v>
      </c>
      <c r="F186" s="601">
        <f>SUM(F180:F185)</f>
        <v>55.800000000000004</v>
      </c>
      <c r="H186" s="257"/>
    </row>
    <row r="187" spans="1:8" ht="15.75" thickBot="1">
      <c r="A187" s="982"/>
      <c r="B187" s="2014" t="s">
        <v>53</v>
      </c>
      <c r="C187" s="2014"/>
      <c r="D187" s="2014"/>
      <c r="E187" s="2014"/>
      <c r="F187" s="983">
        <f>F178+F186</f>
        <v>67</v>
      </c>
    </row>
    <row r="188" spans="1:8" ht="15.75" thickBot="1"/>
    <row r="189" spans="1:8">
      <c r="A189" s="230" t="s">
        <v>1989</v>
      </c>
      <c r="B189" s="130" t="s">
        <v>1990</v>
      </c>
      <c r="C189" s="236" t="s">
        <v>55</v>
      </c>
      <c r="D189" s="72"/>
      <c r="E189" s="73"/>
      <c r="F189" s="124"/>
    </row>
    <row r="190" spans="1:8" ht="15" customHeight="1">
      <c r="A190" s="2000" t="s">
        <v>1991</v>
      </c>
      <c r="B190" s="2001"/>
      <c r="C190" s="2001"/>
      <c r="D190" s="2001"/>
      <c r="E190" s="2001"/>
      <c r="F190" s="2002"/>
    </row>
    <row r="191" spans="1:8" ht="25.5">
      <c r="A191" s="131"/>
      <c r="B191" s="237" t="s">
        <v>56</v>
      </c>
      <c r="C191" s="238" t="s">
        <v>49</v>
      </c>
      <c r="D191" s="239" t="s">
        <v>50</v>
      </c>
      <c r="E191" s="240" t="s">
        <v>62</v>
      </c>
      <c r="F191" s="241" t="s">
        <v>52</v>
      </c>
    </row>
    <row r="192" spans="1:8" ht="25.5">
      <c r="A192" s="231" t="s">
        <v>461</v>
      </c>
      <c r="B192" s="242" t="s">
        <v>101</v>
      </c>
      <c r="C192" s="183" t="s">
        <v>57</v>
      </c>
      <c r="D192" s="243">
        <v>0.2</v>
      </c>
      <c r="E192" s="1257">
        <v>20.16</v>
      </c>
      <c r="F192" s="1163">
        <f>TRUNC((D192*E192),2)</f>
        <v>4.03</v>
      </c>
    </row>
    <row r="193" spans="1:6" ht="25.5">
      <c r="A193" s="231" t="s">
        <v>462</v>
      </c>
      <c r="B193" s="242" t="s">
        <v>102</v>
      </c>
      <c r="C193" s="183" t="s">
        <v>57</v>
      </c>
      <c r="D193" s="243">
        <v>0.2</v>
      </c>
      <c r="E193" s="1257">
        <v>24.64</v>
      </c>
      <c r="F193" s="1163">
        <f>TRUNC((D193*E193),2)</f>
        <v>4.92</v>
      </c>
    </row>
    <row r="194" spans="1:6">
      <c r="A194" s="1164"/>
      <c r="B194" s="947"/>
      <c r="C194" s="183" t="s">
        <v>42</v>
      </c>
      <c r="D194" s="244" t="s">
        <v>42</v>
      </c>
      <c r="E194" s="245" t="s">
        <v>58</v>
      </c>
      <c r="F194" s="1165">
        <f>SUM(F192:F193)</f>
        <v>8.9499999999999993</v>
      </c>
    </row>
    <row r="195" spans="1:6" ht="25.5">
      <c r="A195" s="1164"/>
      <c r="B195" s="1166" t="s">
        <v>95</v>
      </c>
      <c r="C195" s="197" t="s">
        <v>49</v>
      </c>
      <c r="D195" s="246" t="s">
        <v>50</v>
      </c>
      <c r="E195" s="247" t="s">
        <v>62</v>
      </c>
      <c r="F195" s="1165" t="s">
        <v>52</v>
      </c>
    </row>
    <row r="196" spans="1:6">
      <c r="A196" s="1167">
        <v>3148</v>
      </c>
      <c r="B196" s="98" t="s">
        <v>477</v>
      </c>
      <c r="C196" s="183" t="s">
        <v>55</v>
      </c>
      <c r="D196" s="193">
        <v>0.31</v>
      </c>
      <c r="E196" s="1287">
        <v>17.989999999999998</v>
      </c>
      <c r="F196" s="1163">
        <f>TRUNC((D196*E196),2)</f>
        <v>5.57</v>
      </c>
    </row>
    <row r="197" spans="1:6" ht="25.5">
      <c r="A197" s="231">
        <v>10836</v>
      </c>
      <c r="B197" s="98" t="s">
        <v>1992</v>
      </c>
      <c r="C197" s="183" t="s">
        <v>55</v>
      </c>
      <c r="D197" s="243">
        <v>1</v>
      </c>
      <c r="E197" s="1287">
        <v>27.26</v>
      </c>
      <c r="F197" s="1163">
        <f>TRUNC((D197*E197),2)</f>
        <v>27.26</v>
      </c>
    </row>
    <row r="198" spans="1:6" ht="15.75" thickBot="1">
      <c r="A198" s="100"/>
      <c r="B198" s="196"/>
      <c r="C198" s="1120"/>
      <c r="D198" s="251"/>
      <c r="E198" s="252" t="s">
        <v>58</v>
      </c>
      <c r="F198" s="218">
        <f>SUM(F196:F197)</f>
        <v>32.83</v>
      </c>
    </row>
    <row r="199" spans="1:6" ht="15.75" thickBot="1">
      <c r="A199" s="982"/>
      <c r="B199" s="2014" t="s">
        <v>53</v>
      </c>
      <c r="C199" s="2014"/>
      <c r="D199" s="2014"/>
      <c r="E199" s="2014"/>
      <c r="F199" s="983">
        <f>F194+F198</f>
        <v>41.78</v>
      </c>
    </row>
    <row r="200" spans="1:6" ht="15.75" thickBot="1"/>
    <row r="201" spans="1:6">
      <c r="A201" s="230" t="s">
        <v>1993</v>
      </c>
      <c r="B201" s="130" t="s">
        <v>1990</v>
      </c>
      <c r="C201" s="236" t="s">
        <v>55</v>
      </c>
      <c r="D201" s="72"/>
      <c r="E201" s="73"/>
      <c r="F201" s="124"/>
    </row>
    <row r="202" spans="1:6" ht="15" customHeight="1">
      <c r="A202" s="2000" t="s">
        <v>1991</v>
      </c>
      <c r="B202" s="2001"/>
      <c r="C202" s="2001"/>
      <c r="D202" s="2001"/>
      <c r="E202" s="2001"/>
      <c r="F202" s="2002"/>
    </row>
    <row r="203" spans="1:6" ht="25.5">
      <c r="A203" s="131"/>
      <c r="B203" s="237" t="s">
        <v>56</v>
      </c>
      <c r="C203" s="238" t="s">
        <v>49</v>
      </c>
      <c r="D203" s="239" t="s">
        <v>50</v>
      </c>
      <c r="E203" s="240" t="s">
        <v>62</v>
      </c>
      <c r="F203" s="241" t="s">
        <v>52</v>
      </c>
    </row>
    <row r="204" spans="1:6" ht="25.5">
      <c r="A204" s="231" t="s">
        <v>461</v>
      </c>
      <c r="B204" s="242" t="s">
        <v>101</v>
      </c>
      <c r="C204" s="183" t="s">
        <v>57</v>
      </c>
      <c r="D204" s="243">
        <v>0.185</v>
      </c>
      <c r="E204" s="1257">
        <v>20.16</v>
      </c>
      <c r="F204" s="1163">
        <f>TRUNC((D204*E204),2)</f>
        <v>3.72</v>
      </c>
    </row>
    <row r="205" spans="1:6" ht="25.5">
      <c r="A205" s="231" t="s">
        <v>462</v>
      </c>
      <c r="B205" s="242" t="s">
        <v>102</v>
      </c>
      <c r="C205" s="183" t="s">
        <v>57</v>
      </c>
      <c r="D205" s="243">
        <v>0.185</v>
      </c>
      <c r="E205" s="1257">
        <v>24.64</v>
      </c>
      <c r="F205" s="1163">
        <f>TRUNC((D205*E205),2)</f>
        <v>4.55</v>
      </c>
    </row>
    <row r="206" spans="1:6">
      <c r="A206" s="1164"/>
      <c r="B206" s="947"/>
      <c r="C206" s="183" t="s">
        <v>42</v>
      </c>
      <c r="D206" s="244" t="s">
        <v>42</v>
      </c>
      <c r="E206" s="245" t="s">
        <v>58</v>
      </c>
      <c r="F206" s="1165">
        <f>SUM(F204:F205)</f>
        <v>8.27</v>
      </c>
    </row>
    <row r="207" spans="1:6" ht="25.5">
      <c r="A207" s="1164"/>
      <c r="B207" s="1166" t="s">
        <v>95</v>
      </c>
      <c r="C207" s="197" t="s">
        <v>49</v>
      </c>
      <c r="D207" s="246" t="s">
        <v>50</v>
      </c>
      <c r="E207" s="247" t="s">
        <v>62</v>
      </c>
      <c r="F207" s="1165" t="s">
        <v>52</v>
      </c>
    </row>
    <row r="208" spans="1:6" ht="25.5">
      <c r="A208" s="1167">
        <v>20085</v>
      </c>
      <c r="B208" s="98" t="s">
        <v>1795</v>
      </c>
      <c r="C208" s="183" t="s">
        <v>55</v>
      </c>
      <c r="D208" s="193">
        <v>1</v>
      </c>
      <c r="E208" s="1287">
        <v>2.59</v>
      </c>
      <c r="F208" s="1163">
        <f>TRUNC((D208*E208),2)</f>
        <v>2.59</v>
      </c>
    </row>
    <row r="209" spans="1:9" ht="26.25" thickBot="1">
      <c r="A209" s="1169">
        <v>301</v>
      </c>
      <c r="B209" s="1170" t="s">
        <v>1994</v>
      </c>
      <c r="C209" s="1171" t="s">
        <v>55</v>
      </c>
      <c r="D209" s="1172">
        <v>1</v>
      </c>
      <c r="E209" s="1288">
        <v>3.5</v>
      </c>
      <c r="F209" s="1173">
        <f>TRUNC((D209*E209),2)</f>
        <v>3.5</v>
      </c>
    </row>
    <row r="210" spans="1:9" ht="38.25">
      <c r="A210" s="1174">
        <v>20078</v>
      </c>
      <c r="B210" s="996" t="s">
        <v>1794</v>
      </c>
      <c r="C210" s="1175" t="s">
        <v>55</v>
      </c>
      <c r="D210" s="1176">
        <v>9.1999999999999998E-2</v>
      </c>
      <c r="E210" s="980">
        <v>31.72</v>
      </c>
      <c r="F210" s="1177">
        <f>TRUNC((D210*E210),2)</f>
        <v>2.91</v>
      </c>
    </row>
    <row r="211" spans="1:9" ht="25.5">
      <c r="A211" s="1167">
        <v>10908</v>
      </c>
      <c r="B211" s="98" t="s">
        <v>1995</v>
      </c>
      <c r="C211" s="183" t="s">
        <v>55</v>
      </c>
      <c r="D211" s="193">
        <v>1</v>
      </c>
      <c r="E211" s="1287">
        <v>24.81</v>
      </c>
      <c r="F211" s="1163">
        <f>TRUNC((D211*E211),2)</f>
        <v>24.81</v>
      </c>
    </row>
    <row r="212" spans="1:9" ht="15.75" thickBot="1">
      <c r="A212" s="100"/>
      <c r="B212" s="196"/>
      <c r="C212" s="1120"/>
      <c r="D212" s="251"/>
      <c r="E212" s="252" t="s">
        <v>58</v>
      </c>
      <c r="F212" s="218">
        <f>SUM(F208:F211)</f>
        <v>33.81</v>
      </c>
    </row>
    <row r="213" spans="1:9" ht="15.75" thickBot="1">
      <c r="A213" s="982"/>
      <c r="B213" s="2014" t="s">
        <v>53</v>
      </c>
      <c r="C213" s="2014"/>
      <c r="D213" s="2014"/>
      <c r="E213" s="2014"/>
      <c r="F213" s="983">
        <f>F206+F212</f>
        <v>42.08</v>
      </c>
    </row>
    <row r="214" spans="1:9" ht="15.75" thickBot="1"/>
    <row r="215" spans="1:9" ht="25.5">
      <c r="A215" s="230" t="s">
        <v>488</v>
      </c>
      <c r="B215" s="130" t="s">
        <v>1998</v>
      </c>
      <c r="C215" s="236" t="s">
        <v>55</v>
      </c>
      <c r="D215" s="72"/>
      <c r="E215" s="73"/>
      <c r="F215" s="124"/>
      <c r="H215" s="234"/>
    </row>
    <row r="216" spans="1:9">
      <c r="A216" s="2000" t="s">
        <v>1999</v>
      </c>
      <c r="B216" s="2001"/>
      <c r="C216" s="2001"/>
      <c r="D216" s="2001"/>
      <c r="E216" s="2001"/>
      <c r="F216" s="2002"/>
    </row>
    <row r="217" spans="1:9" ht="25.5">
      <c r="A217" s="131"/>
      <c r="B217" s="237" t="s">
        <v>56</v>
      </c>
      <c r="C217" s="238" t="s">
        <v>49</v>
      </c>
      <c r="D217" s="239" t="s">
        <v>50</v>
      </c>
      <c r="E217" s="240" t="s">
        <v>62</v>
      </c>
      <c r="F217" s="241" t="s">
        <v>52</v>
      </c>
    </row>
    <row r="218" spans="1:9" ht="25.5">
      <c r="A218" s="231" t="s">
        <v>461</v>
      </c>
      <c r="B218" s="242" t="s">
        <v>101</v>
      </c>
      <c r="C218" s="183" t="s">
        <v>57</v>
      </c>
      <c r="D218" s="243">
        <v>0.55000000000000004</v>
      </c>
      <c r="E218" s="1257">
        <v>20.16</v>
      </c>
      <c r="F218" s="1163">
        <f>TRUNC((D218*E218),2)</f>
        <v>11.08</v>
      </c>
    </row>
    <row r="219" spans="1:9" ht="25.5">
      <c r="A219" s="231" t="s">
        <v>462</v>
      </c>
      <c r="B219" s="242" t="s">
        <v>102</v>
      </c>
      <c r="C219" s="183" t="s">
        <v>57</v>
      </c>
      <c r="D219" s="243">
        <v>0.55000000000000004</v>
      </c>
      <c r="E219" s="1257">
        <v>24.64</v>
      </c>
      <c r="F219" s="1163">
        <f>TRUNC((D219*E219),2)</f>
        <v>13.55</v>
      </c>
    </row>
    <row r="220" spans="1:9">
      <c r="A220" s="1164"/>
      <c r="B220" s="947"/>
      <c r="C220" s="183" t="s">
        <v>42</v>
      </c>
      <c r="D220" s="244" t="s">
        <v>42</v>
      </c>
      <c r="E220" s="245" t="s">
        <v>58</v>
      </c>
      <c r="F220" s="1165">
        <f>SUM(F218:F219)</f>
        <v>24.630000000000003</v>
      </c>
      <c r="H220" s="623"/>
      <c r="I220" s="563"/>
    </row>
    <row r="221" spans="1:9" ht="25.5">
      <c r="A221" s="1164"/>
      <c r="B221" s="1166" t="s">
        <v>95</v>
      </c>
      <c r="C221" s="197" t="s">
        <v>49</v>
      </c>
      <c r="D221" s="246" t="s">
        <v>50</v>
      </c>
      <c r="E221" s="247" t="s">
        <v>62</v>
      </c>
      <c r="F221" s="1165" t="s">
        <v>52</v>
      </c>
      <c r="H221" s="565"/>
      <c r="I221" s="255"/>
    </row>
    <row r="222" spans="1:9">
      <c r="A222" s="231">
        <v>122</v>
      </c>
      <c r="B222" s="98" t="s">
        <v>125</v>
      </c>
      <c r="C222" s="183" t="s">
        <v>100</v>
      </c>
      <c r="D222" s="193">
        <v>7.6999999999999999E-2</v>
      </c>
      <c r="E222" s="1287">
        <v>76.86</v>
      </c>
      <c r="F222" s="1163">
        <f>TRUNC((D222*E222),2)</f>
        <v>5.91</v>
      </c>
      <c r="H222" s="565"/>
      <c r="I222" s="255"/>
    </row>
    <row r="223" spans="1:9">
      <c r="A223" s="231">
        <v>20083</v>
      </c>
      <c r="B223" s="98" t="s">
        <v>126</v>
      </c>
      <c r="C223" s="183" t="s">
        <v>455</v>
      </c>
      <c r="D223" s="193">
        <v>0.11799999999999999</v>
      </c>
      <c r="E223" s="1287">
        <v>87.08</v>
      </c>
      <c r="F223" s="1163">
        <f>TRUNC((D223*E223),2)</f>
        <v>10.27</v>
      </c>
      <c r="H223" s="565"/>
      <c r="I223" s="255"/>
    </row>
    <row r="224" spans="1:9" ht="25.5">
      <c r="A224" s="231">
        <v>11656</v>
      </c>
      <c r="B224" s="98" t="s">
        <v>2000</v>
      </c>
      <c r="C224" s="183" t="s">
        <v>55</v>
      </c>
      <c r="D224" s="243">
        <v>1</v>
      </c>
      <c r="E224" s="1287">
        <v>22.71</v>
      </c>
      <c r="F224" s="1163">
        <f>TRUNC((D224*E224),2)</f>
        <v>22.71</v>
      </c>
      <c r="H224" s="565"/>
      <c r="I224" s="255"/>
    </row>
    <row r="225" spans="1:9" ht="15.75" thickBot="1">
      <c r="A225" s="100"/>
      <c r="B225" s="196"/>
      <c r="C225" s="1120"/>
      <c r="D225" s="251"/>
      <c r="E225" s="252" t="s">
        <v>58</v>
      </c>
      <c r="F225" s="218">
        <f>SUM(F222:F224)</f>
        <v>38.89</v>
      </c>
    </row>
    <row r="226" spans="1:9" ht="15.75" thickBot="1">
      <c r="A226" s="982"/>
      <c r="B226" s="2014" t="s">
        <v>53</v>
      </c>
      <c r="C226" s="2014"/>
      <c r="D226" s="2014"/>
      <c r="E226" s="2014"/>
      <c r="F226" s="983">
        <f>F220+F225</f>
        <v>63.52</v>
      </c>
    </row>
    <row r="227" spans="1:9" ht="15.75" thickBot="1"/>
    <row r="228" spans="1:9" ht="15.75">
      <c r="A228" s="230" t="s">
        <v>489</v>
      </c>
      <c r="B228" s="130" t="s">
        <v>2002</v>
      </c>
      <c r="C228" s="236" t="s">
        <v>55</v>
      </c>
      <c r="D228" s="72"/>
      <c r="E228" s="73"/>
      <c r="F228" s="124"/>
      <c r="G228" s="234"/>
      <c r="H228" s="234"/>
    </row>
    <row r="229" spans="1:9">
      <c r="A229" s="2000" t="s">
        <v>2017</v>
      </c>
      <c r="B229" s="2001"/>
      <c r="C229" s="2001"/>
      <c r="D229" s="2001"/>
      <c r="E229" s="2001"/>
      <c r="F229" s="2002"/>
    </row>
    <row r="230" spans="1:9" ht="25.5">
      <c r="A230" s="131"/>
      <c r="B230" s="237" t="s">
        <v>56</v>
      </c>
      <c r="C230" s="238" t="s">
        <v>49</v>
      </c>
      <c r="D230" s="239" t="s">
        <v>50</v>
      </c>
      <c r="E230" s="240" t="s">
        <v>62</v>
      </c>
      <c r="F230" s="241" t="s">
        <v>52</v>
      </c>
    </row>
    <row r="231" spans="1:9" ht="25.5">
      <c r="A231" s="231" t="s">
        <v>461</v>
      </c>
      <c r="B231" s="242" t="s">
        <v>101</v>
      </c>
      <c r="C231" s="183" t="s">
        <v>57</v>
      </c>
      <c r="D231" s="258">
        <v>0.25</v>
      </c>
      <c r="E231" s="1257">
        <v>20.16</v>
      </c>
      <c r="F231" s="1163">
        <f>TRUNC((D231*E231),2)</f>
        <v>5.04</v>
      </c>
    </row>
    <row r="232" spans="1:9" ht="25.5">
      <c r="A232" s="231" t="s">
        <v>462</v>
      </c>
      <c r="B232" s="242" t="s">
        <v>102</v>
      </c>
      <c r="C232" s="183" t="s">
        <v>57</v>
      </c>
      <c r="D232" s="258">
        <v>0.25</v>
      </c>
      <c r="E232" s="1257">
        <v>24.64</v>
      </c>
      <c r="F232" s="1163">
        <f>TRUNC((D232*E232),2)</f>
        <v>6.16</v>
      </c>
    </row>
    <row r="233" spans="1:9">
      <c r="A233" s="1164"/>
      <c r="B233" s="947"/>
      <c r="C233" s="183" t="s">
        <v>42</v>
      </c>
      <c r="D233" s="244" t="s">
        <v>42</v>
      </c>
      <c r="E233" s="245" t="s">
        <v>58</v>
      </c>
      <c r="F233" s="1165">
        <f>SUM(F231:F232)</f>
        <v>11.2</v>
      </c>
    </row>
    <row r="234" spans="1:9" ht="25.5">
      <c r="A234" s="1164"/>
      <c r="B234" s="1166" t="s">
        <v>95</v>
      </c>
      <c r="C234" s="197" t="s">
        <v>49</v>
      </c>
      <c r="D234" s="246" t="s">
        <v>50</v>
      </c>
      <c r="E234" s="247" t="s">
        <v>62</v>
      </c>
      <c r="F234" s="1165" t="s">
        <v>52</v>
      </c>
      <c r="H234" s="257"/>
      <c r="I234" s="257"/>
    </row>
    <row r="235" spans="1:9">
      <c r="A235" s="1167">
        <v>3148</v>
      </c>
      <c r="B235" s="98" t="s">
        <v>477</v>
      </c>
      <c r="C235" s="183" t="s">
        <v>55</v>
      </c>
      <c r="D235" s="243">
        <v>0.94</v>
      </c>
      <c r="E235" s="1287">
        <v>17.989999999999998</v>
      </c>
      <c r="F235" s="1163">
        <f>TRUNC((D235*E235),2)</f>
        <v>16.91</v>
      </c>
      <c r="H235" s="257"/>
      <c r="I235" s="257"/>
    </row>
    <row r="236" spans="1:9">
      <c r="A236" s="231">
        <v>20262</v>
      </c>
      <c r="B236" s="98" t="s">
        <v>2003</v>
      </c>
      <c r="C236" s="183" t="s">
        <v>55</v>
      </c>
      <c r="D236" s="243">
        <v>1</v>
      </c>
      <c r="E236" s="1287">
        <v>22.8</v>
      </c>
      <c r="F236" s="1163">
        <f>TRUNC((D236*E236),2)</f>
        <v>22.8</v>
      </c>
      <c r="H236" s="257"/>
      <c r="I236" s="257"/>
    </row>
    <row r="237" spans="1:9" ht="15.75" thickBot="1">
      <c r="A237" s="100"/>
      <c r="B237" s="196"/>
      <c r="C237" s="1120"/>
      <c r="D237" s="251"/>
      <c r="E237" s="252" t="s">
        <v>58</v>
      </c>
      <c r="F237" s="218">
        <f>SUM(F235:F236)</f>
        <v>39.71</v>
      </c>
      <c r="H237" s="257"/>
      <c r="I237" s="257"/>
    </row>
    <row r="238" spans="1:9" ht="15.75" thickBot="1">
      <c r="A238" s="982"/>
      <c r="B238" s="2014" t="s">
        <v>53</v>
      </c>
      <c r="C238" s="2014"/>
      <c r="D238" s="2014"/>
      <c r="E238" s="2014"/>
      <c r="F238" s="983">
        <f>F233+F237</f>
        <v>50.91</v>
      </c>
    </row>
    <row r="239" spans="1:9" ht="15.75" thickBot="1"/>
    <row r="240" spans="1:9" ht="25.5" customHeight="1">
      <c r="A240" s="230" t="s">
        <v>490</v>
      </c>
      <c r="B240" s="130" t="s">
        <v>2005</v>
      </c>
      <c r="C240" s="236" t="s">
        <v>55</v>
      </c>
      <c r="D240" s="72"/>
      <c r="E240" s="73"/>
      <c r="F240" s="124"/>
      <c r="G240" s="234"/>
      <c r="H240" s="234"/>
    </row>
    <row r="241" spans="1:8">
      <c r="A241" s="2000" t="s">
        <v>494</v>
      </c>
      <c r="B241" s="2001"/>
      <c r="C241" s="2001"/>
      <c r="D241" s="2001"/>
      <c r="E241" s="2001"/>
      <c r="F241" s="2002"/>
    </row>
    <row r="242" spans="1:8" ht="25.5">
      <c r="A242" s="131"/>
      <c r="B242" s="237" t="s">
        <v>56</v>
      </c>
      <c r="C242" s="238" t="s">
        <v>49</v>
      </c>
      <c r="D242" s="239" t="s">
        <v>50</v>
      </c>
      <c r="E242" s="240" t="s">
        <v>62</v>
      </c>
      <c r="F242" s="241" t="s">
        <v>52</v>
      </c>
    </row>
    <row r="243" spans="1:8" ht="25.5">
      <c r="A243" s="231" t="s">
        <v>461</v>
      </c>
      <c r="B243" s="242" t="s">
        <v>101</v>
      </c>
      <c r="C243" s="183" t="s">
        <v>57</v>
      </c>
      <c r="D243" s="243">
        <v>0.14000000000000001</v>
      </c>
      <c r="E243" s="1257">
        <v>20.16</v>
      </c>
      <c r="F243" s="1163">
        <f>TRUNC((D243*E243),2)</f>
        <v>2.82</v>
      </c>
    </row>
    <row r="244" spans="1:8" ht="25.5">
      <c r="A244" s="231" t="s">
        <v>462</v>
      </c>
      <c r="B244" s="242" t="s">
        <v>102</v>
      </c>
      <c r="C244" s="183" t="s">
        <v>57</v>
      </c>
      <c r="D244" s="243">
        <v>0.14000000000000001</v>
      </c>
      <c r="E244" s="1257">
        <v>24.64</v>
      </c>
      <c r="F244" s="1163">
        <f>TRUNC((D244*E244),2)</f>
        <v>3.44</v>
      </c>
    </row>
    <row r="245" spans="1:8">
      <c r="A245" s="1164"/>
      <c r="B245" s="947"/>
      <c r="C245" s="183" t="s">
        <v>42</v>
      </c>
      <c r="D245" s="244" t="s">
        <v>42</v>
      </c>
      <c r="E245" s="245" t="s">
        <v>58</v>
      </c>
      <c r="F245" s="1165">
        <f>SUM(F243:F244)</f>
        <v>6.26</v>
      </c>
    </row>
    <row r="246" spans="1:8" ht="25.5">
      <c r="A246" s="1164"/>
      <c r="B246" s="1166" t="s">
        <v>95</v>
      </c>
      <c r="C246" s="197" t="s">
        <v>49</v>
      </c>
      <c r="D246" s="246" t="s">
        <v>50</v>
      </c>
      <c r="E246" s="247" t="s">
        <v>62</v>
      </c>
      <c r="F246" s="1165" t="s">
        <v>52</v>
      </c>
    </row>
    <row r="247" spans="1:8" ht="25.5">
      <c r="A247" s="1167">
        <v>6140</v>
      </c>
      <c r="B247" s="98" t="s">
        <v>2005</v>
      </c>
      <c r="C247" s="183" t="s">
        <v>55</v>
      </c>
      <c r="D247" s="193">
        <v>1</v>
      </c>
      <c r="E247" s="1287">
        <v>4.78</v>
      </c>
      <c r="F247" s="1163">
        <f>TRUNC((D247*E247),2)</f>
        <v>4.78</v>
      </c>
    </row>
    <row r="248" spans="1:8" ht="15.75" thickBot="1">
      <c r="A248" s="100"/>
      <c r="B248" s="196"/>
      <c r="C248" s="1120"/>
      <c r="D248" s="251"/>
      <c r="E248" s="252" t="s">
        <v>58</v>
      </c>
      <c r="F248" s="218">
        <f>SUM(F247:F247)</f>
        <v>4.78</v>
      </c>
    </row>
    <row r="249" spans="1:8" ht="15.75" thickBot="1">
      <c r="A249" s="982"/>
      <c r="B249" s="2014" t="s">
        <v>53</v>
      </c>
      <c r="C249" s="2014"/>
      <c r="D249" s="2014"/>
      <c r="E249" s="2014"/>
      <c r="F249" s="983">
        <f>F245+F248</f>
        <v>11.04</v>
      </c>
    </row>
    <row r="250" spans="1:8" ht="15.75" thickBot="1"/>
    <row r="251" spans="1:8" ht="28.5" customHeight="1">
      <c r="A251" s="230" t="s">
        <v>491</v>
      </c>
      <c r="B251" s="130" t="s">
        <v>2006</v>
      </c>
      <c r="C251" s="236" t="s">
        <v>55</v>
      </c>
      <c r="D251" s="72"/>
      <c r="E251" s="73"/>
      <c r="F251" s="124"/>
      <c r="G251" s="234"/>
      <c r="H251" s="234"/>
    </row>
    <row r="252" spans="1:8" ht="15" customHeight="1">
      <c r="A252" s="2000" t="s">
        <v>2016</v>
      </c>
      <c r="B252" s="2001"/>
      <c r="C252" s="2001"/>
      <c r="D252" s="2001"/>
      <c r="E252" s="2001"/>
      <c r="F252" s="2002"/>
    </row>
    <row r="253" spans="1:8" ht="25.5">
      <c r="A253" s="131"/>
      <c r="B253" s="237" t="s">
        <v>56</v>
      </c>
      <c r="C253" s="238" t="s">
        <v>49</v>
      </c>
      <c r="D253" s="239" t="s">
        <v>50</v>
      </c>
      <c r="E253" s="240" t="s">
        <v>62</v>
      </c>
      <c r="F253" s="241" t="s">
        <v>52</v>
      </c>
    </row>
    <row r="254" spans="1:8" ht="25.5">
      <c r="A254" s="231" t="s">
        <v>461</v>
      </c>
      <c r="B254" s="242" t="s">
        <v>101</v>
      </c>
      <c r="C254" s="183" t="s">
        <v>57</v>
      </c>
      <c r="D254" s="258">
        <v>7.0000000000000007E-2</v>
      </c>
      <c r="E254" s="1257">
        <v>20.16</v>
      </c>
      <c r="F254" s="1163">
        <f>TRUNC((D254*E254),2)</f>
        <v>1.41</v>
      </c>
    </row>
    <row r="255" spans="1:8" ht="25.5">
      <c r="A255" s="231" t="s">
        <v>462</v>
      </c>
      <c r="B255" s="242" t="s">
        <v>102</v>
      </c>
      <c r="C255" s="183" t="s">
        <v>57</v>
      </c>
      <c r="D255" s="258">
        <v>7.0000000000000007E-2</v>
      </c>
      <c r="E255" s="1257">
        <v>24.64</v>
      </c>
      <c r="F255" s="1163">
        <f>TRUNC((D255*E255),2)</f>
        <v>1.72</v>
      </c>
    </row>
    <row r="256" spans="1:8">
      <c r="A256" s="1164"/>
      <c r="B256" s="947"/>
      <c r="C256" s="183" t="s">
        <v>42</v>
      </c>
      <c r="D256" s="244" t="s">
        <v>42</v>
      </c>
      <c r="E256" s="245" t="s">
        <v>58</v>
      </c>
      <c r="F256" s="1165">
        <f>SUM(F254:F255)</f>
        <v>3.13</v>
      </c>
    </row>
    <row r="257" spans="1:11" ht="25.5">
      <c r="A257" s="1164"/>
      <c r="B257" s="1166" t="s">
        <v>95</v>
      </c>
      <c r="C257" s="197" t="s">
        <v>49</v>
      </c>
      <c r="D257" s="246" t="s">
        <v>50</v>
      </c>
      <c r="E257" s="247" t="s">
        <v>62</v>
      </c>
      <c r="F257" s="1165" t="s">
        <v>52</v>
      </c>
      <c r="H257" s="257"/>
      <c r="I257" s="257"/>
    </row>
    <row r="258" spans="1:11">
      <c r="A258" s="231">
        <v>122</v>
      </c>
      <c r="B258" s="98" t="s">
        <v>125</v>
      </c>
      <c r="C258" s="183" t="s">
        <v>100</v>
      </c>
      <c r="D258" s="243">
        <v>8.0000000000000002E-3</v>
      </c>
      <c r="E258" s="1287">
        <v>76.86</v>
      </c>
      <c r="F258" s="1163">
        <f>TRUNC((D258*E258),2)</f>
        <v>0.61</v>
      </c>
      <c r="H258" s="257"/>
      <c r="I258" s="257"/>
    </row>
    <row r="259" spans="1:11">
      <c r="A259" s="231">
        <v>20083</v>
      </c>
      <c r="B259" s="98" t="s">
        <v>126</v>
      </c>
      <c r="C259" s="183" t="s">
        <v>455</v>
      </c>
      <c r="D259" s="243">
        <v>1.0999999999999999E-2</v>
      </c>
      <c r="E259" s="1287">
        <v>87.08</v>
      </c>
      <c r="F259" s="1163">
        <f>TRUNC((D259*E259),2)</f>
        <v>0.95</v>
      </c>
      <c r="H259" s="257"/>
      <c r="I259" s="257"/>
    </row>
    <row r="260" spans="1:11" ht="24.75">
      <c r="A260" s="231">
        <v>39319</v>
      </c>
      <c r="B260" s="1168" t="s">
        <v>2006</v>
      </c>
      <c r="C260" s="183" t="s">
        <v>55</v>
      </c>
      <c r="D260" s="243">
        <v>1</v>
      </c>
      <c r="E260" s="1287">
        <v>9.77</v>
      </c>
      <c r="F260" s="1163">
        <f>TRUNC((D260*E260),2)</f>
        <v>9.77</v>
      </c>
      <c r="H260" s="257"/>
      <c r="I260" s="257"/>
    </row>
    <row r="261" spans="1:11" ht="15.75" thickBot="1">
      <c r="A261" s="100"/>
      <c r="B261" s="196"/>
      <c r="C261" s="1120"/>
      <c r="D261" s="251"/>
      <c r="E261" s="252" t="s">
        <v>58</v>
      </c>
      <c r="F261" s="218">
        <f>SUM(F258:F260)</f>
        <v>11.33</v>
      </c>
      <c r="H261" s="257"/>
      <c r="I261" s="257"/>
    </row>
    <row r="262" spans="1:11" ht="15.75" thickBot="1">
      <c r="A262" s="84"/>
      <c r="B262" s="2023" t="s">
        <v>53</v>
      </c>
      <c r="C262" s="2023"/>
      <c r="D262" s="2023"/>
      <c r="E262" s="2023"/>
      <c r="F262" s="299">
        <f>F256+F261</f>
        <v>14.46</v>
      </c>
    </row>
    <row r="263" spans="1:11" ht="15.75" thickBot="1"/>
    <row r="264" spans="1:11" ht="25.5">
      <c r="A264" s="230" t="s">
        <v>492</v>
      </c>
      <c r="B264" s="187" t="s">
        <v>2007</v>
      </c>
      <c r="C264" s="236" t="s">
        <v>55</v>
      </c>
      <c r="D264" s="72"/>
      <c r="E264" s="73"/>
      <c r="F264" s="124"/>
      <c r="G264" s="259"/>
      <c r="H264" s="234"/>
    </row>
    <row r="265" spans="1:11">
      <c r="A265" s="2000" t="s">
        <v>2016</v>
      </c>
      <c r="B265" s="2001"/>
      <c r="C265" s="2001"/>
      <c r="D265" s="2001"/>
      <c r="E265" s="2001"/>
      <c r="F265" s="2002"/>
    </row>
    <row r="266" spans="1:11" ht="25.5">
      <c r="A266" s="131"/>
      <c r="B266" s="237" t="s">
        <v>56</v>
      </c>
      <c r="C266" s="238" t="s">
        <v>49</v>
      </c>
      <c r="D266" s="239" t="s">
        <v>50</v>
      </c>
      <c r="E266" s="240" t="s">
        <v>62</v>
      </c>
      <c r="F266" s="241" t="s">
        <v>52</v>
      </c>
      <c r="H266" s="260"/>
    </row>
    <row r="267" spans="1:11" ht="25.5">
      <c r="A267" s="231" t="s">
        <v>461</v>
      </c>
      <c r="B267" s="242" t="s">
        <v>101</v>
      </c>
      <c r="C267" s="183" t="s">
        <v>57</v>
      </c>
      <c r="D267" s="258">
        <v>7.0000000000000007E-2</v>
      </c>
      <c r="E267" s="1257">
        <v>20.16</v>
      </c>
      <c r="F267" s="1163">
        <f>TRUNC((D267*E267),2)</f>
        <v>1.41</v>
      </c>
    </row>
    <row r="268" spans="1:11" ht="25.5">
      <c r="A268" s="231" t="s">
        <v>462</v>
      </c>
      <c r="B268" s="242" t="s">
        <v>102</v>
      </c>
      <c r="C268" s="183" t="s">
        <v>57</v>
      </c>
      <c r="D268" s="258">
        <v>7.0000000000000007E-2</v>
      </c>
      <c r="E268" s="1257">
        <v>24.64</v>
      </c>
      <c r="F268" s="1163">
        <f>TRUNC((D268*E268),2)</f>
        <v>1.72</v>
      </c>
    </row>
    <row r="269" spans="1:11">
      <c r="A269" s="1164"/>
      <c r="B269" s="947"/>
      <c r="C269" s="183" t="s">
        <v>42</v>
      </c>
      <c r="D269" s="244" t="s">
        <v>42</v>
      </c>
      <c r="E269" s="245" t="s">
        <v>58</v>
      </c>
      <c r="F269" s="1165">
        <f>SUM(F267:F268)</f>
        <v>3.13</v>
      </c>
      <c r="H269" s="253"/>
      <c r="I269" s="562"/>
      <c r="J269" s="563"/>
    </row>
    <row r="270" spans="1:11" ht="25.5">
      <c r="A270" s="1164"/>
      <c r="B270" s="1166" t="s">
        <v>95</v>
      </c>
      <c r="C270" s="197" t="s">
        <v>49</v>
      </c>
      <c r="D270" s="246" t="s">
        <v>50</v>
      </c>
      <c r="E270" s="247" t="s">
        <v>62</v>
      </c>
      <c r="F270" s="1165" t="s">
        <v>52</v>
      </c>
      <c r="H270" s="253"/>
      <c r="I270" s="255"/>
      <c r="J270" s="563"/>
    </row>
    <row r="271" spans="1:11">
      <c r="A271" s="231">
        <v>122</v>
      </c>
      <c r="B271" s="98" t="s">
        <v>125</v>
      </c>
      <c r="C271" s="183" t="s">
        <v>100</v>
      </c>
      <c r="D271" s="243">
        <v>8.0000000000000002E-3</v>
      </c>
      <c r="E271" s="1287">
        <v>76.86</v>
      </c>
      <c r="F271" s="1163">
        <f>TRUNC((D271*E271),2)</f>
        <v>0.61</v>
      </c>
      <c r="H271" s="253"/>
      <c r="I271" s="562"/>
      <c r="J271" s="563"/>
      <c r="K271" s="20"/>
    </row>
    <row r="272" spans="1:11">
      <c r="A272" s="231">
        <v>20083</v>
      </c>
      <c r="B272" s="98" t="s">
        <v>126</v>
      </c>
      <c r="C272" s="183" t="s">
        <v>455</v>
      </c>
      <c r="D272" s="243">
        <v>1.0999999999999999E-2</v>
      </c>
      <c r="E272" s="1287">
        <v>87.08</v>
      </c>
      <c r="F272" s="1163">
        <f>TRUNC((D272*E272),2)</f>
        <v>0.95</v>
      </c>
      <c r="H272" s="253"/>
      <c r="I272" s="562"/>
      <c r="J272" s="563"/>
      <c r="K272" s="20"/>
    </row>
    <row r="273" spans="1:11" ht="24.75">
      <c r="A273" s="231">
        <v>39319</v>
      </c>
      <c r="B273" s="1168" t="s">
        <v>2006</v>
      </c>
      <c r="C273" s="183" t="s">
        <v>55</v>
      </c>
      <c r="D273" s="243">
        <v>1</v>
      </c>
      <c r="E273" s="1287">
        <v>16.25</v>
      </c>
      <c r="F273" s="1163">
        <f>TRUNC((D273*E273),2)</f>
        <v>16.25</v>
      </c>
      <c r="H273" s="253"/>
      <c r="I273" s="255"/>
      <c r="J273" s="563"/>
      <c r="K273" s="20"/>
    </row>
    <row r="274" spans="1:11" ht="15.75" thickBot="1">
      <c r="A274" s="100"/>
      <c r="B274" s="196"/>
      <c r="C274" s="1120"/>
      <c r="D274" s="251"/>
      <c r="E274" s="252" t="s">
        <v>58</v>
      </c>
      <c r="F274" s="218">
        <f>SUM(F271:F273)</f>
        <v>17.809999999999999</v>
      </c>
      <c r="I274" s="560"/>
      <c r="J274" s="560"/>
      <c r="K274" s="20"/>
    </row>
    <row r="275" spans="1:11" ht="15.75" thickBot="1">
      <c r="A275" s="44"/>
      <c r="B275" s="2024" t="s">
        <v>53</v>
      </c>
      <c r="C275" s="2024"/>
      <c r="D275" s="2024"/>
      <c r="E275" s="2024"/>
      <c r="F275" s="217">
        <f>F269+F274</f>
        <v>20.939999999999998</v>
      </c>
      <c r="I275" s="560"/>
      <c r="J275" s="560"/>
      <c r="K275" s="560"/>
    </row>
    <row r="276" spans="1:11" ht="15.75" thickBot="1">
      <c r="I276" s="560"/>
      <c r="J276" s="560"/>
      <c r="K276" s="560"/>
    </row>
    <row r="277" spans="1:11" ht="26.25" customHeight="1">
      <c r="A277" s="230" t="s">
        <v>493</v>
      </c>
      <c r="B277" s="130" t="s">
        <v>2009</v>
      </c>
      <c r="C277" s="236" t="s">
        <v>55</v>
      </c>
      <c r="D277" s="72"/>
      <c r="E277" s="73"/>
      <c r="F277" s="124"/>
      <c r="H277" s="234"/>
      <c r="I277" s="20"/>
      <c r="J277" s="20"/>
      <c r="K277" s="20"/>
    </row>
    <row r="278" spans="1:11">
      <c r="A278" s="2000" t="s">
        <v>2018</v>
      </c>
      <c r="B278" s="2001"/>
      <c r="C278" s="2001"/>
      <c r="D278" s="2001"/>
      <c r="E278" s="2001"/>
      <c r="F278" s="2002"/>
      <c r="H278" s="625"/>
      <c r="I278" s="625"/>
      <c r="J278" s="625"/>
      <c r="K278" s="625"/>
    </row>
    <row r="279" spans="1:11" ht="25.5">
      <c r="A279" s="131"/>
      <c r="B279" s="237" t="s">
        <v>56</v>
      </c>
      <c r="C279" s="238" t="s">
        <v>49</v>
      </c>
      <c r="D279" s="239" t="s">
        <v>50</v>
      </c>
      <c r="E279" s="240" t="s">
        <v>62</v>
      </c>
      <c r="F279" s="241" t="s">
        <v>52</v>
      </c>
      <c r="H279" s="625"/>
      <c r="I279" s="625"/>
      <c r="J279" s="625"/>
      <c r="K279" s="625"/>
    </row>
    <row r="280" spans="1:11" ht="25.5">
      <c r="A280" s="231" t="s">
        <v>461</v>
      </c>
      <c r="B280" s="242" t="s">
        <v>101</v>
      </c>
      <c r="C280" s="183" t="s">
        <v>57</v>
      </c>
      <c r="D280" s="261">
        <v>0.55000000000000004</v>
      </c>
      <c r="E280" s="1257">
        <v>20.16</v>
      </c>
      <c r="F280" s="1163">
        <f>TRUNC((D280*E280),2)</f>
        <v>11.08</v>
      </c>
      <c r="H280" s="625"/>
      <c r="I280" s="625"/>
      <c r="J280" s="625"/>
      <c r="K280" s="625"/>
    </row>
    <row r="281" spans="1:11" ht="25.5">
      <c r="A281" s="231" t="s">
        <v>462</v>
      </c>
      <c r="B281" s="242" t="s">
        <v>102</v>
      </c>
      <c r="C281" s="183" t="s">
        <v>57</v>
      </c>
      <c r="D281" s="261">
        <v>0.55000000000000004</v>
      </c>
      <c r="E281" s="1257">
        <v>24.64</v>
      </c>
      <c r="F281" s="1163">
        <f>TRUNC((D281*E281),2)</f>
        <v>13.55</v>
      </c>
      <c r="H281" s="625"/>
      <c r="I281" s="625"/>
      <c r="J281" s="625"/>
      <c r="K281" s="625"/>
    </row>
    <row r="282" spans="1:11">
      <c r="A282" s="1164"/>
      <c r="B282" s="947"/>
      <c r="C282" s="183" t="s">
        <v>42</v>
      </c>
      <c r="D282" s="244" t="s">
        <v>42</v>
      </c>
      <c r="E282" s="245" t="s">
        <v>58</v>
      </c>
      <c r="F282" s="1165">
        <f>SUM(F280:F281)</f>
        <v>24.630000000000003</v>
      </c>
      <c r="H282" s="625"/>
      <c r="I282" s="625"/>
      <c r="J282" s="625"/>
      <c r="K282" s="625"/>
    </row>
    <row r="283" spans="1:11" ht="25.5">
      <c r="A283" s="1164"/>
      <c r="B283" s="1166" t="s">
        <v>95</v>
      </c>
      <c r="C283" s="197" t="s">
        <v>49</v>
      </c>
      <c r="D283" s="246" t="s">
        <v>50</v>
      </c>
      <c r="E283" s="247" t="s">
        <v>62</v>
      </c>
      <c r="F283" s="1165" t="s">
        <v>52</v>
      </c>
      <c r="H283" s="625"/>
      <c r="I283" s="625"/>
      <c r="J283" s="625"/>
      <c r="K283" s="625"/>
    </row>
    <row r="284" spans="1:11" ht="25.5">
      <c r="A284" s="231">
        <v>35277</v>
      </c>
      <c r="B284" s="98" t="s">
        <v>2009</v>
      </c>
      <c r="C284" s="183" t="s">
        <v>55</v>
      </c>
      <c r="D284" s="243">
        <v>1</v>
      </c>
      <c r="E284" s="1287">
        <v>421.69</v>
      </c>
      <c r="F284" s="1163">
        <f>TRUNC((D284*E284),2)</f>
        <v>421.69</v>
      </c>
      <c r="H284" s="625"/>
      <c r="I284" s="625"/>
      <c r="J284" s="625"/>
      <c r="K284" s="625"/>
    </row>
    <row r="285" spans="1:11" ht="15.75" thickBot="1">
      <c r="A285" s="100"/>
      <c r="B285" s="196"/>
      <c r="C285" s="1120"/>
      <c r="D285" s="251"/>
      <c r="E285" s="252" t="s">
        <v>58</v>
      </c>
      <c r="F285" s="218">
        <f>SUM(F284:F284)</f>
        <v>421.69</v>
      </c>
    </row>
    <row r="286" spans="1:11" ht="15.75" thickBot="1">
      <c r="A286" s="982"/>
      <c r="B286" s="2014" t="s">
        <v>53</v>
      </c>
      <c r="C286" s="2014"/>
      <c r="D286" s="2014"/>
      <c r="E286" s="2014"/>
      <c r="F286" s="983">
        <f>F282+F285</f>
        <v>446.32</v>
      </c>
    </row>
    <row r="287" spans="1:11" ht="17.25" customHeight="1" thickBot="1"/>
    <row r="288" spans="1:11" ht="25.5">
      <c r="A288" s="230" t="s">
        <v>2447</v>
      </c>
      <c r="B288" s="130" t="s">
        <v>2450</v>
      </c>
      <c r="C288" s="236" t="s">
        <v>55</v>
      </c>
      <c r="D288" s="72"/>
      <c r="E288" s="73"/>
      <c r="F288" s="124"/>
    </row>
    <row r="289" spans="1:6">
      <c r="A289" s="2000" t="s">
        <v>2449</v>
      </c>
      <c r="B289" s="2001"/>
      <c r="C289" s="2001"/>
      <c r="D289" s="2001"/>
      <c r="E289" s="2001"/>
      <c r="F289" s="2002"/>
    </row>
    <row r="290" spans="1:6" ht="25.5">
      <c r="A290" s="131"/>
      <c r="B290" s="237" t="s">
        <v>56</v>
      </c>
      <c r="C290" s="238" t="s">
        <v>49</v>
      </c>
      <c r="D290" s="239" t="s">
        <v>50</v>
      </c>
      <c r="E290" s="240" t="s">
        <v>62</v>
      </c>
      <c r="F290" s="241" t="s">
        <v>52</v>
      </c>
    </row>
    <row r="291" spans="1:6" ht="25.5">
      <c r="A291" s="231" t="s">
        <v>461</v>
      </c>
      <c r="B291" s="242" t="s">
        <v>101</v>
      </c>
      <c r="C291" s="183" t="s">
        <v>57</v>
      </c>
      <c r="D291" s="261">
        <v>1.5</v>
      </c>
      <c r="E291" s="1257">
        <v>20.16</v>
      </c>
      <c r="F291" s="1163">
        <f>TRUNC((D291*E291),2)</f>
        <v>30.24</v>
      </c>
    </row>
    <row r="292" spans="1:6" ht="25.5">
      <c r="A292" s="231" t="s">
        <v>462</v>
      </c>
      <c r="B292" s="242" t="s">
        <v>102</v>
      </c>
      <c r="C292" s="183" t="s">
        <v>57</v>
      </c>
      <c r="D292" s="261">
        <v>1</v>
      </c>
      <c r="E292" s="1257">
        <v>24.64</v>
      </c>
      <c r="F292" s="1163">
        <f>TRUNC((D292*E292),2)</f>
        <v>24.64</v>
      </c>
    </row>
    <row r="293" spans="1:6">
      <c r="A293" s="1164"/>
      <c r="B293" s="947"/>
      <c r="C293" s="183" t="s">
        <v>42</v>
      </c>
      <c r="D293" s="244" t="s">
        <v>42</v>
      </c>
      <c r="E293" s="245" t="s">
        <v>58</v>
      </c>
      <c r="F293" s="1165">
        <f>SUM(F291:F292)</f>
        <v>54.879999999999995</v>
      </c>
    </row>
    <row r="294" spans="1:6" ht="25.5">
      <c r="A294" s="1164"/>
      <c r="B294" s="1166" t="s">
        <v>95</v>
      </c>
      <c r="C294" s="197" t="s">
        <v>49</v>
      </c>
      <c r="D294" s="246" t="s">
        <v>50</v>
      </c>
      <c r="E294" s="247" t="s">
        <v>62</v>
      </c>
      <c r="F294" s="1165" t="s">
        <v>52</v>
      </c>
    </row>
    <row r="295" spans="1:6" ht="25.5">
      <c r="A295" s="231">
        <v>37104</v>
      </c>
      <c r="B295" s="1256" t="s">
        <v>2448</v>
      </c>
      <c r="C295" s="183" t="s">
        <v>55</v>
      </c>
      <c r="D295" s="243">
        <v>1</v>
      </c>
      <c r="E295" s="1287">
        <v>1448.73</v>
      </c>
      <c r="F295" s="1163">
        <f>TRUNC((D295*E295),2)</f>
        <v>1448.73</v>
      </c>
    </row>
    <row r="296" spans="1:6" ht="15.75" thickBot="1">
      <c r="A296" s="100"/>
      <c r="B296" s="196"/>
      <c r="C296" s="1120"/>
      <c r="D296" s="251"/>
      <c r="E296" s="252" t="s">
        <v>58</v>
      </c>
      <c r="F296" s="218">
        <f>SUM(F295:F295)</f>
        <v>1448.73</v>
      </c>
    </row>
    <row r="297" spans="1:6" ht="15.75" thickBot="1">
      <c r="A297" s="982"/>
      <c r="B297" s="2014" t="s">
        <v>53</v>
      </c>
      <c r="C297" s="2014"/>
      <c r="D297" s="2014"/>
      <c r="E297" s="2014"/>
      <c r="F297" s="983">
        <f>F293+F296</f>
        <v>1503.6100000000001</v>
      </c>
    </row>
  </sheetData>
  <mergeCells count="48">
    <mergeCell ref="A83:F83"/>
    <mergeCell ref="B94:E94"/>
    <mergeCell ref="B135:E135"/>
    <mergeCell ref="B55:E55"/>
    <mergeCell ref="A58:F58"/>
    <mergeCell ref="A71:F71"/>
    <mergeCell ref="B80:E80"/>
    <mergeCell ref="A97:F97"/>
    <mergeCell ref="B107:E107"/>
    <mergeCell ref="A110:F110"/>
    <mergeCell ref="B121:E121"/>
    <mergeCell ref="A124:F124"/>
    <mergeCell ref="B27:E27"/>
    <mergeCell ref="A30:F30"/>
    <mergeCell ref="B41:E41"/>
    <mergeCell ref="A44:F44"/>
    <mergeCell ref="B68:E68"/>
    <mergeCell ref="B3:F3"/>
    <mergeCell ref="B4:F4"/>
    <mergeCell ref="A14:F14"/>
    <mergeCell ref="B5:F5"/>
    <mergeCell ref="A16:F16"/>
    <mergeCell ref="A138:F138"/>
    <mergeCell ref="B148:E148"/>
    <mergeCell ref="A151:F151"/>
    <mergeCell ref="B159:E159"/>
    <mergeCell ref="A162:F162"/>
    <mergeCell ref="B171:E171"/>
    <mergeCell ref="A174:F174"/>
    <mergeCell ref="B187:E187"/>
    <mergeCell ref="A216:F216"/>
    <mergeCell ref="B226:E226"/>
    <mergeCell ref="A190:F190"/>
    <mergeCell ref="B199:E199"/>
    <mergeCell ref="A202:F202"/>
    <mergeCell ref="B213:E213"/>
    <mergeCell ref="A289:F289"/>
    <mergeCell ref="B297:E297"/>
    <mergeCell ref="A229:F229"/>
    <mergeCell ref="B238:E238"/>
    <mergeCell ref="A241:F241"/>
    <mergeCell ref="A278:F278"/>
    <mergeCell ref="B286:E286"/>
    <mergeCell ref="B249:E249"/>
    <mergeCell ref="A252:F252"/>
    <mergeCell ref="B262:E262"/>
    <mergeCell ref="A265:F265"/>
    <mergeCell ref="B275:E275"/>
  </mergeCells>
  <conditionalFormatting sqref="H45 I269:J270">
    <cfRule type="expression" dxfId="21" priority="53" stopIfTrue="1">
      <formula>AND($A45&lt;&gt;"COMPOSICAO",$A45&lt;&gt;"INSUMO",$A45&lt;&gt;"")</formula>
    </cfRule>
    <cfRule type="expression" dxfId="20" priority="54" stopIfTrue="1">
      <formula>AND(OR($A45="COMPOSICAO",$A45="INSUMO",$A45&lt;&gt;""),$A45&lt;&gt;"")</formula>
    </cfRule>
  </conditionalFormatting>
  <conditionalFormatting sqref="H54">
    <cfRule type="expression" dxfId="19" priority="47" stopIfTrue="1">
      <formula>AND($A54&lt;&gt;"COMPOSICAO",$A54&lt;&gt;"INSUMO",$A54&lt;&gt;"")</formula>
    </cfRule>
    <cfRule type="expression" dxfId="18" priority="48" stopIfTrue="1">
      <formula>AND(OR($A54="COMPOSICAO",$A54="INSUMO",$A54&lt;&gt;""),$A54&lt;&gt;"")</formula>
    </cfRule>
  </conditionalFormatting>
  <conditionalFormatting sqref="H220:H221">
    <cfRule type="expression" dxfId="17" priority="39" stopIfTrue="1">
      <formula>AND($A220&lt;&gt;"COMPOSICAO",$A220&lt;&gt;"INSUMO",$A220&lt;&gt;"")</formula>
    </cfRule>
    <cfRule type="expression" dxfId="16" priority="40" stopIfTrue="1">
      <formula>AND(OR($A220="COMPOSICAO",$A220="INSUMO",$A220&lt;&gt;""),$A220&lt;&gt;"")</formula>
    </cfRule>
  </conditionalFormatting>
  <conditionalFormatting sqref="I220:I221">
    <cfRule type="expression" dxfId="15" priority="37" stopIfTrue="1">
      <formula>AND($A220&lt;&gt;"COMPOSICAO",$A220&lt;&gt;"INSUMO",$A220&lt;&gt;"")</formula>
    </cfRule>
    <cfRule type="expression" dxfId="14" priority="38" stopIfTrue="1">
      <formula>AND(OR($A220="COMPOSICAO",$A220="INSUMO",$A220&lt;&gt;""),$A220&lt;&gt;"")</formula>
    </cfRule>
  </conditionalFormatting>
  <conditionalFormatting sqref="H128:H129">
    <cfRule type="expression" dxfId="13" priority="1" stopIfTrue="1">
      <formula>AND($A128&lt;&gt;"COMPOSICAO",$A128&lt;&gt;"INSUMO",$A128&lt;&gt;"")</formula>
    </cfRule>
    <cfRule type="expression" dxfId="12" priority="2" stopIfTrue="1">
      <formula>AND(OR($A128="COMPOSICAO",$A128="INSUMO",$A128&lt;&gt;""),$A128&lt;&gt;"")</formula>
    </cfRule>
  </conditionalFormatting>
  <conditionalFormatting sqref="J128:J129">
    <cfRule type="expression" dxfId="11" priority="5" stopIfTrue="1">
      <formula>AND($A128&lt;&gt;"COMPOSICAO",$A128&lt;&gt;"INSUMO",$A128&lt;&gt;"")</formula>
    </cfRule>
    <cfRule type="expression" dxfId="10" priority="6" stopIfTrue="1">
      <formula>AND(OR($A128="COMPOSICAO",$A128="INSUMO",$A128&lt;&gt;""),$A128&lt;&gt;"")</formula>
    </cfRule>
  </conditionalFormatting>
  <conditionalFormatting sqref="I128:I129">
    <cfRule type="expression" dxfId="9" priority="3" stopIfTrue="1">
      <formula>AND($A128&lt;&gt;"COMPOSICAO",$A128&lt;&gt;"INSUMO",$A128&lt;&gt;"")</formula>
    </cfRule>
    <cfRule type="expression" dxfId="8"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7 I277 J277 A126:A127 A99:A100 A73:A74 A153:A154 A85:A86 A112:A113 A164:A165 A218:A219 A231:A232 A243:A244 A204:A205 A192:A193 A176:A177 H285:H287 A280:A28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83"/>
  <sheetViews>
    <sheetView topLeftCell="A275" workbookViewId="0">
      <selection activeCell="A288" sqref="A288:E288"/>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3.42578125" customWidth="1"/>
    <col min="9" max="9" width="9.140625" customWidth="1"/>
    <col min="10" max="10" width="18.28515625" customWidth="1"/>
  </cols>
  <sheetData>
    <row r="1" spans="1:6" ht="16.5" thickBot="1">
      <c r="A1" s="123"/>
      <c r="B1" s="123"/>
      <c r="C1" s="123"/>
      <c r="D1" s="123"/>
      <c r="E1" s="123"/>
      <c r="F1" s="123"/>
    </row>
    <row r="2" spans="1:6">
      <c r="A2" s="126" t="s">
        <v>2432</v>
      </c>
      <c r="B2" s="59" t="str">
        <f>'PLANILHA SEM DESON'!B9:D9</f>
        <v>SEMA-PRO-2022/00145</v>
      </c>
      <c r="C2" s="59"/>
      <c r="D2" s="59"/>
      <c r="E2" s="127" t="s">
        <v>133</v>
      </c>
      <c r="F2" s="428">
        <f>'PLANILHA SEM DESON'!J12</f>
        <v>0</v>
      </c>
    </row>
    <row r="3" spans="1:6">
      <c r="A3" s="104" t="s">
        <v>1</v>
      </c>
      <c r="B3" s="16" t="str">
        <f>'PLANILHA SEM DESON'!B10:C10</f>
        <v>CONSTRUÇÃO DE DIRETORIA DE UNIDADE DESCONCENTRADA DA SEMA - DUDS</v>
      </c>
      <c r="C3" s="16"/>
      <c r="D3" s="16"/>
      <c r="E3" s="16"/>
      <c r="F3" s="56"/>
    </row>
    <row r="4" spans="1:6">
      <c r="A4" s="104" t="s">
        <v>2</v>
      </c>
      <c r="B4" s="16" t="str">
        <f>'PLANILHA SEM DESON'!B11:C11</f>
        <v>RUA 24 A - JARDIM TANGARA II</v>
      </c>
      <c r="C4" s="16"/>
      <c r="D4" s="16"/>
      <c r="E4" s="16"/>
      <c r="F4" s="56"/>
    </row>
    <row r="5" spans="1:6">
      <c r="A5" s="104" t="s">
        <v>4</v>
      </c>
      <c r="B5" s="16" t="str">
        <f>'PLANILHA SEM DESON'!B12:C12</f>
        <v>TANGARÁ DA SERRA - MT</v>
      </c>
      <c r="C5" s="16"/>
      <c r="D5" s="16"/>
      <c r="E5" s="16"/>
      <c r="F5" s="56"/>
    </row>
    <row r="6" spans="1:6" ht="15.75" thickBot="1">
      <c r="A6" s="1141" t="s">
        <v>5</v>
      </c>
      <c r="B6" s="1139" t="str">
        <f>'PLANILHA SEM DESON'!B13</f>
        <v xml:space="preserve">CONSTRUÇÃO </v>
      </c>
      <c r="C6" s="1139"/>
      <c r="D6" s="1139"/>
      <c r="E6" s="1139"/>
      <c r="F6" s="1140"/>
    </row>
    <row r="7" spans="1:6" ht="16.5" thickBot="1">
      <c r="A7" s="2060" t="s">
        <v>498</v>
      </c>
      <c r="B7" s="2061"/>
      <c r="C7" s="2061"/>
      <c r="D7" s="2061"/>
      <c r="E7" s="2061"/>
      <c r="F7" s="2062"/>
    </row>
    <row r="8" spans="1:6" ht="15.75" thickBot="1">
      <c r="A8" s="262" t="s">
        <v>499</v>
      </c>
      <c r="B8" s="263" t="s">
        <v>500</v>
      </c>
      <c r="C8" s="83" t="s">
        <v>55</v>
      </c>
      <c r="D8" s="108"/>
      <c r="E8" s="108"/>
      <c r="F8" s="109"/>
    </row>
    <row r="9" spans="1:6">
      <c r="A9" s="2032" t="s">
        <v>501</v>
      </c>
      <c r="B9" s="2033"/>
      <c r="C9" s="2033"/>
      <c r="D9" s="2033"/>
      <c r="E9" s="2033"/>
      <c r="F9" s="2034"/>
    </row>
    <row r="10" spans="1:6" ht="30">
      <c r="A10" s="1499"/>
      <c r="B10" s="1500" t="s">
        <v>48</v>
      </c>
      <c r="C10" s="1501" t="s">
        <v>49</v>
      </c>
      <c r="D10" s="1502" t="s">
        <v>50</v>
      </c>
      <c r="E10" s="1503" t="s">
        <v>51</v>
      </c>
      <c r="F10" s="30" t="s">
        <v>52</v>
      </c>
    </row>
    <row r="11" spans="1:6">
      <c r="A11" s="1301">
        <v>88264</v>
      </c>
      <c r="B11" s="1504" t="s">
        <v>94</v>
      </c>
      <c r="C11" s="1302" t="s">
        <v>57</v>
      </c>
      <c r="D11" s="1448">
        <v>0.15</v>
      </c>
      <c r="E11" s="1287">
        <v>25.54</v>
      </c>
      <c r="F11" s="265">
        <f>TRUNC(D11*E11,2)</f>
        <v>3.83</v>
      </c>
    </row>
    <row r="12" spans="1:6" ht="25.5">
      <c r="A12" s="1449">
        <v>88247</v>
      </c>
      <c r="B12" s="1504" t="s">
        <v>93</v>
      </c>
      <c r="C12" s="1302" t="s">
        <v>57</v>
      </c>
      <c r="D12" s="1448">
        <v>0.15</v>
      </c>
      <c r="E12" s="1006">
        <v>21</v>
      </c>
      <c r="F12" s="265">
        <f>TRUNC(D12*E12,2)</f>
        <v>3.15</v>
      </c>
    </row>
    <row r="13" spans="1:6">
      <c r="A13" s="1505"/>
      <c r="B13" s="1506"/>
      <c r="C13" s="1507"/>
      <c r="D13" s="1508"/>
      <c r="E13" s="1046" t="s">
        <v>58</v>
      </c>
      <c r="F13" s="33">
        <f>SUM(F11:F12)</f>
        <v>6.98</v>
      </c>
    </row>
    <row r="14" spans="1:6" ht="30">
      <c r="A14" s="1305"/>
      <c r="B14" s="986" t="s">
        <v>95</v>
      </c>
      <c r="C14" s="1439" t="s">
        <v>49</v>
      </c>
      <c r="D14" s="1440" t="s">
        <v>50</v>
      </c>
      <c r="E14" s="1276" t="s">
        <v>62</v>
      </c>
      <c r="F14" s="38" t="s">
        <v>52</v>
      </c>
    </row>
    <row r="15" spans="1:6" ht="25.5">
      <c r="A15" s="1449">
        <v>39601</v>
      </c>
      <c r="B15" s="1509" t="s">
        <v>2421</v>
      </c>
      <c r="C15" s="1302" t="s">
        <v>55</v>
      </c>
      <c r="D15" s="1303">
        <v>1</v>
      </c>
      <c r="E15" s="1006">
        <v>28.25</v>
      </c>
      <c r="F15" s="265">
        <f>TRUNC(D15*E15,2)</f>
        <v>28.25</v>
      </c>
    </row>
    <row r="16" spans="1:6" ht="15.75" thickBot="1">
      <c r="A16" s="1142"/>
      <c r="B16" s="1143"/>
      <c r="C16" s="1144"/>
      <c r="D16" s="1145"/>
      <c r="E16" s="1046" t="s">
        <v>58</v>
      </c>
      <c r="F16" s="989">
        <f>SUM(F15:F15)</f>
        <v>28.25</v>
      </c>
    </row>
    <row r="17" spans="1:6" ht="15.75" thickBot="1">
      <c r="A17" s="88"/>
      <c r="B17" s="2035" t="s">
        <v>53</v>
      </c>
      <c r="C17" s="2036"/>
      <c r="D17" s="2036"/>
      <c r="E17" s="2037"/>
      <c r="F17" s="91">
        <f>F13+F16</f>
        <v>35.230000000000004</v>
      </c>
    </row>
    <row r="18" spans="1:6" ht="15.75" thickBot="1"/>
    <row r="19" spans="1:6" ht="26.25" thickBot="1">
      <c r="A19" s="262" t="s">
        <v>502</v>
      </c>
      <c r="B19" s="263" t="s">
        <v>2422</v>
      </c>
      <c r="C19" s="83" t="s">
        <v>55</v>
      </c>
      <c r="D19" s="108"/>
      <c r="E19" s="108"/>
      <c r="F19" s="109"/>
    </row>
    <row r="20" spans="1:6">
      <c r="A20" s="2032" t="s">
        <v>1552</v>
      </c>
      <c r="B20" s="2033"/>
      <c r="C20" s="2033"/>
      <c r="D20" s="2033"/>
      <c r="E20" s="2033"/>
      <c r="F20" s="2034"/>
    </row>
    <row r="21" spans="1:6" ht="30">
      <c r="A21" s="1499"/>
      <c r="B21" s="1500" t="s">
        <v>48</v>
      </c>
      <c r="C21" s="1501" t="s">
        <v>49</v>
      </c>
      <c r="D21" s="1502" t="s">
        <v>50</v>
      </c>
      <c r="E21" s="1503" t="s">
        <v>51</v>
      </c>
      <c r="F21" s="30" t="s">
        <v>52</v>
      </c>
    </row>
    <row r="22" spans="1:6">
      <c r="A22" s="1301">
        <v>88264</v>
      </c>
      <c r="B22" s="1504" t="s">
        <v>94</v>
      </c>
      <c r="C22" s="1302" t="s">
        <v>57</v>
      </c>
      <c r="D22" s="1448">
        <v>0.2</v>
      </c>
      <c r="E22" s="1287">
        <v>25.54</v>
      </c>
      <c r="F22" s="265">
        <f>TRUNC(D22*E22,2)</f>
        <v>5.0999999999999996</v>
      </c>
    </row>
    <row r="23" spans="1:6" ht="25.5">
      <c r="A23" s="1449">
        <v>88247</v>
      </c>
      <c r="B23" s="1504" t="s">
        <v>93</v>
      </c>
      <c r="C23" s="1302" t="s">
        <v>57</v>
      </c>
      <c r="D23" s="1448">
        <v>0.2</v>
      </c>
      <c r="E23" s="1006">
        <v>21</v>
      </c>
      <c r="F23" s="265">
        <f>TRUNC(D23*E23,2)</f>
        <v>4.2</v>
      </c>
    </row>
    <row r="24" spans="1:6">
      <c r="A24" s="1505"/>
      <c r="B24" s="1506"/>
      <c r="C24" s="1507"/>
      <c r="D24" s="1508"/>
      <c r="E24" s="1046" t="s">
        <v>58</v>
      </c>
      <c r="F24" s="266">
        <f>SUM(F22:F23)</f>
        <v>9.3000000000000007</v>
      </c>
    </row>
    <row r="25" spans="1:6" ht="30">
      <c r="A25" s="1305"/>
      <c r="B25" s="986" t="s">
        <v>95</v>
      </c>
      <c r="C25" s="1439" t="s">
        <v>49</v>
      </c>
      <c r="D25" s="1440" t="s">
        <v>50</v>
      </c>
      <c r="E25" s="1276" t="s">
        <v>62</v>
      </c>
      <c r="F25" s="38" t="s">
        <v>52</v>
      </c>
    </row>
    <row r="26" spans="1:6">
      <c r="A26" s="1449" t="s">
        <v>65</v>
      </c>
      <c r="B26" s="1510" t="s">
        <v>2423</v>
      </c>
      <c r="C26" s="1302" t="s">
        <v>55</v>
      </c>
      <c r="D26" s="1303">
        <v>1</v>
      </c>
      <c r="E26" s="1006">
        <f>C34</f>
        <v>39.909999999999997</v>
      </c>
      <c r="F26" s="265">
        <f>TRUNC(D26*E26,2)</f>
        <v>39.909999999999997</v>
      </c>
    </row>
    <row r="27" spans="1:6" ht="15.75" thickBot="1">
      <c r="A27" s="1142"/>
      <c r="B27" s="1143"/>
      <c r="C27" s="1144"/>
      <c r="D27" s="1145"/>
      <c r="E27" s="1046" t="s">
        <v>58</v>
      </c>
      <c r="F27" s="1161">
        <f>SUM(F26:F26)</f>
        <v>39.909999999999997</v>
      </c>
    </row>
    <row r="28" spans="1:6" ht="15.75" thickBot="1">
      <c r="A28" s="88"/>
      <c r="B28" s="2035" t="s">
        <v>53</v>
      </c>
      <c r="C28" s="2036"/>
      <c r="D28" s="2036"/>
      <c r="E28" s="2037"/>
      <c r="F28" s="91">
        <f>F24+F27</f>
        <v>49.209999999999994</v>
      </c>
    </row>
    <row r="29" spans="1:6">
      <c r="A29" s="89"/>
      <c r="B29" s="2038" t="s">
        <v>96</v>
      </c>
      <c r="C29" s="2039"/>
      <c r="D29" s="2039"/>
      <c r="E29" s="2040"/>
      <c r="F29" s="90"/>
    </row>
    <row r="30" spans="1:6" ht="25.5">
      <c r="A30" s="1275" t="s">
        <v>59</v>
      </c>
      <c r="B30" s="1276" t="s">
        <v>97</v>
      </c>
      <c r="C30" s="1277" t="s">
        <v>98</v>
      </c>
      <c r="D30" s="2028" t="s">
        <v>60</v>
      </c>
      <c r="E30" s="2029"/>
      <c r="F30" s="76" t="s">
        <v>99</v>
      </c>
    </row>
    <row r="31" spans="1:6">
      <c r="A31" s="1255">
        <v>44869</v>
      </c>
      <c r="B31" s="1256" t="s">
        <v>2146</v>
      </c>
      <c r="C31" s="1257">
        <v>21.52</v>
      </c>
      <c r="D31" s="1962" t="s">
        <v>2144</v>
      </c>
      <c r="E31" s="1963"/>
      <c r="F31" s="966" t="s">
        <v>2145</v>
      </c>
    </row>
    <row r="32" spans="1:6">
      <c r="A32" s="1255">
        <v>44886</v>
      </c>
      <c r="B32" s="1256" t="s">
        <v>2279</v>
      </c>
      <c r="C32" s="1257">
        <v>39.909999999999997</v>
      </c>
      <c r="D32" s="1962" t="s">
        <v>2280</v>
      </c>
      <c r="E32" s="1963"/>
      <c r="F32" s="966" t="s">
        <v>2281</v>
      </c>
    </row>
    <row r="33" spans="1:6">
      <c r="A33" s="1255">
        <v>44887</v>
      </c>
      <c r="B33" s="1256" t="s">
        <v>2282</v>
      </c>
      <c r="C33" s="1257">
        <v>67.38</v>
      </c>
      <c r="D33" s="1962" t="s">
        <v>2283</v>
      </c>
      <c r="E33" s="1963"/>
      <c r="F33" s="966" t="s">
        <v>2284</v>
      </c>
    </row>
    <row r="34" spans="1:6" ht="15.75" thickBot="1">
      <c r="A34" s="63"/>
      <c r="B34" s="1511" t="s">
        <v>61</v>
      </c>
      <c r="C34" s="1363">
        <f>MEDIAN(C31:C33)</f>
        <v>39.909999999999997</v>
      </c>
      <c r="D34" s="2030"/>
      <c r="E34" s="2031"/>
      <c r="F34" s="65"/>
    </row>
    <row r="35" spans="1:6" ht="15.75" thickBot="1"/>
    <row r="36" spans="1:6" ht="15.75" thickBot="1">
      <c r="A36" s="262" t="s">
        <v>503</v>
      </c>
      <c r="B36" s="263" t="s">
        <v>1532</v>
      </c>
      <c r="C36" s="83" t="s">
        <v>55</v>
      </c>
      <c r="D36" s="108"/>
      <c r="E36" s="108"/>
      <c r="F36" s="109"/>
    </row>
    <row r="37" spans="1:6">
      <c r="A37" s="2032" t="s">
        <v>504</v>
      </c>
      <c r="B37" s="2033"/>
      <c r="C37" s="2033"/>
      <c r="D37" s="2033"/>
      <c r="E37" s="2033"/>
      <c r="F37" s="2034"/>
    </row>
    <row r="38" spans="1:6" ht="30">
      <c r="A38" s="1499"/>
      <c r="B38" s="1500" t="s">
        <v>48</v>
      </c>
      <c r="C38" s="1501" t="s">
        <v>49</v>
      </c>
      <c r="D38" s="1502" t="s">
        <v>50</v>
      </c>
      <c r="E38" s="1503" t="s">
        <v>51</v>
      </c>
      <c r="F38" s="30" t="s">
        <v>52</v>
      </c>
    </row>
    <row r="39" spans="1:6">
      <c r="A39" s="1301">
        <v>88264</v>
      </c>
      <c r="B39" s="1504" t="s">
        <v>94</v>
      </c>
      <c r="C39" s="1302" t="s">
        <v>57</v>
      </c>
      <c r="D39" s="1512">
        <v>0.2</v>
      </c>
      <c r="E39" s="1287">
        <v>25.54</v>
      </c>
      <c r="F39" s="32">
        <f>TRUNC(D39*E39,2)</f>
        <v>5.0999999999999996</v>
      </c>
    </row>
    <row r="40" spans="1:6">
      <c r="A40" s="1505"/>
      <c r="B40" s="1506"/>
      <c r="C40" s="1507"/>
      <c r="D40" s="1508"/>
      <c r="E40" s="1046" t="s">
        <v>58</v>
      </c>
      <c r="F40" s="33">
        <f>SUM(F39:F39)</f>
        <v>5.0999999999999996</v>
      </c>
    </row>
    <row r="41" spans="1:6" ht="30">
      <c r="A41" s="1305"/>
      <c r="B41" s="986" t="s">
        <v>95</v>
      </c>
      <c r="C41" s="1439" t="s">
        <v>49</v>
      </c>
      <c r="D41" s="1440" t="s">
        <v>50</v>
      </c>
      <c r="E41" s="1276" t="s">
        <v>62</v>
      </c>
      <c r="F41" s="38" t="s">
        <v>52</v>
      </c>
    </row>
    <row r="42" spans="1:6">
      <c r="A42" s="1449" t="s">
        <v>65</v>
      </c>
      <c r="B42" s="1509" t="s">
        <v>505</v>
      </c>
      <c r="C42" s="1302" t="s">
        <v>55</v>
      </c>
      <c r="D42" s="1513">
        <v>1</v>
      </c>
      <c r="E42" s="1146">
        <f>C50</f>
        <v>158.51</v>
      </c>
      <c r="F42" s="32">
        <f>TRUNC(D42*E42,2)</f>
        <v>158.51</v>
      </c>
    </row>
    <row r="43" spans="1:6" ht="15.75" thickBot="1">
      <c r="A43" s="1142"/>
      <c r="B43" s="1143"/>
      <c r="C43" s="1144"/>
      <c r="D43" s="1145"/>
      <c r="E43" s="1046" t="s">
        <v>58</v>
      </c>
      <c r="F43" s="989">
        <f>SUM(F42:F42)</f>
        <v>158.51</v>
      </c>
    </row>
    <row r="44" spans="1:6" ht="15.75" thickBot="1">
      <c r="A44" s="88"/>
      <c r="B44" s="2035" t="s">
        <v>53</v>
      </c>
      <c r="C44" s="2036"/>
      <c r="D44" s="2036"/>
      <c r="E44" s="2037"/>
      <c r="F44" s="91">
        <f>F40+F43</f>
        <v>163.60999999999999</v>
      </c>
    </row>
    <row r="45" spans="1:6">
      <c r="A45" s="89"/>
      <c r="B45" s="2038" t="s">
        <v>96</v>
      </c>
      <c r="C45" s="2039"/>
      <c r="D45" s="2039"/>
      <c r="E45" s="2040"/>
      <c r="F45" s="90"/>
    </row>
    <row r="46" spans="1:6" ht="25.5">
      <c r="A46" s="1275" t="s">
        <v>59</v>
      </c>
      <c r="B46" s="1276" t="s">
        <v>97</v>
      </c>
      <c r="C46" s="1277" t="s">
        <v>98</v>
      </c>
      <c r="D46" s="2028" t="s">
        <v>60</v>
      </c>
      <c r="E46" s="2029"/>
      <c r="F46" s="76" t="s">
        <v>99</v>
      </c>
    </row>
    <row r="47" spans="1:6">
      <c r="A47" s="1255">
        <v>44861</v>
      </c>
      <c r="B47" s="1256" t="s">
        <v>2285</v>
      </c>
      <c r="C47" s="1257">
        <f>135.85+22.66</f>
        <v>158.51</v>
      </c>
      <c r="D47" s="1962" t="s">
        <v>2175</v>
      </c>
      <c r="E47" s="1963"/>
      <c r="F47" s="1291" t="s">
        <v>2286</v>
      </c>
    </row>
    <row r="48" spans="1:6">
      <c r="A48" s="1255">
        <v>44869</v>
      </c>
      <c r="B48" s="1256" t="s">
        <v>2146</v>
      </c>
      <c r="C48" s="1257">
        <v>170.03</v>
      </c>
      <c r="D48" s="1962" t="s">
        <v>2144</v>
      </c>
      <c r="E48" s="1963"/>
      <c r="F48" s="966" t="s">
        <v>2145</v>
      </c>
    </row>
    <row r="49" spans="1:6">
      <c r="A49" s="1255">
        <v>44869</v>
      </c>
      <c r="B49" s="1256" t="s">
        <v>2287</v>
      </c>
      <c r="C49" s="1257">
        <f>49.9+20.77</f>
        <v>70.67</v>
      </c>
      <c r="D49" s="1962" t="s">
        <v>2154</v>
      </c>
      <c r="E49" s="1963"/>
      <c r="F49" s="1292" t="s">
        <v>2288</v>
      </c>
    </row>
    <row r="50" spans="1:6" ht="15.75" thickBot="1">
      <c r="A50" s="63"/>
      <c r="B50" s="1511" t="s">
        <v>61</v>
      </c>
      <c r="C50" s="1514">
        <f>MEDIAN(C47:C49)</f>
        <v>158.51</v>
      </c>
      <c r="D50" s="2030"/>
      <c r="E50" s="2031"/>
      <c r="F50" s="65"/>
    </row>
    <row r="51" spans="1:6" ht="15.75" thickBot="1"/>
    <row r="52" spans="1:6" ht="15.75" thickBot="1">
      <c r="A52" s="262" t="s">
        <v>506</v>
      </c>
      <c r="B52" s="263" t="s">
        <v>1531</v>
      </c>
      <c r="C52" s="83" t="s">
        <v>55</v>
      </c>
      <c r="D52" s="108"/>
      <c r="E52" s="108"/>
      <c r="F52" s="109"/>
    </row>
    <row r="53" spans="1:6">
      <c r="A53" s="2032" t="s">
        <v>504</v>
      </c>
      <c r="B53" s="2033"/>
      <c r="C53" s="2033"/>
      <c r="D53" s="2033"/>
      <c r="E53" s="2033"/>
      <c r="F53" s="2034"/>
    </row>
    <row r="54" spans="1:6" ht="30">
      <c r="A54" s="1499"/>
      <c r="B54" s="1500" t="s">
        <v>48</v>
      </c>
      <c r="C54" s="1501" t="s">
        <v>49</v>
      </c>
      <c r="D54" s="1502" t="s">
        <v>50</v>
      </c>
      <c r="E54" s="1503" t="s">
        <v>51</v>
      </c>
      <c r="F54" s="30" t="s">
        <v>52</v>
      </c>
    </row>
    <row r="55" spans="1:6">
      <c r="A55" s="1301">
        <v>88264</v>
      </c>
      <c r="B55" s="1504" t="s">
        <v>94</v>
      </c>
      <c r="C55" s="1302" t="s">
        <v>57</v>
      </c>
      <c r="D55" s="1448">
        <v>0.2</v>
      </c>
      <c r="E55" s="1287">
        <v>25.54</v>
      </c>
      <c r="F55" s="265">
        <f>TRUNC(D55*E55,2)</f>
        <v>5.0999999999999996</v>
      </c>
    </row>
    <row r="56" spans="1:6">
      <c r="A56" s="1505"/>
      <c r="B56" s="1506"/>
      <c r="C56" s="1507"/>
      <c r="D56" s="1508"/>
      <c r="E56" s="1046" t="s">
        <v>58</v>
      </c>
      <c r="F56" s="266">
        <f>SUM(F55:F55)</f>
        <v>5.0999999999999996</v>
      </c>
    </row>
    <row r="57" spans="1:6" ht="30">
      <c r="A57" s="1305"/>
      <c r="B57" s="986" t="s">
        <v>95</v>
      </c>
      <c r="C57" s="1439" t="s">
        <v>49</v>
      </c>
      <c r="D57" s="1440" t="s">
        <v>50</v>
      </c>
      <c r="E57" s="1276" t="s">
        <v>62</v>
      </c>
      <c r="F57" s="38" t="s">
        <v>52</v>
      </c>
    </row>
    <row r="58" spans="1:6">
      <c r="A58" s="1449" t="s">
        <v>65</v>
      </c>
      <c r="B58" s="1256" t="s">
        <v>1531</v>
      </c>
      <c r="C58" s="1302" t="s">
        <v>55</v>
      </c>
      <c r="D58" s="1513">
        <v>1</v>
      </c>
      <c r="E58" s="1006">
        <f>C66</f>
        <v>52.83</v>
      </c>
      <c r="F58" s="265">
        <f>TRUNC(D58*E58,2)</f>
        <v>52.83</v>
      </c>
    </row>
    <row r="59" spans="1:6" ht="15.75" thickBot="1">
      <c r="A59" s="1142"/>
      <c r="B59" s="1143"/>
      <c r="C59" s="1144"/>
      <c r="D59" s="1145"/>
      <c r="E59" s="1046" t="s">
        <v>58</v>
      </c>
      <c r="F59" s="1161">
        <f>SUM(F58:F58)</f>
        <v>52.83</v>
      </c>
    </row>
    <row r="60" spans="1:6" ht="15.75" thickBot="1">
      <c r="A60" s="88"/>
      <c r="B60" s="2035" t="s">
        <v>53</v>
      </c>
      <c r="C60" s="2036"/>
      <c r="D60" s="2036"/>
      <c r="E60" s="2037"/>
      <c r="F60" s="268">
        <f>F56+F59</f>
        <v>57.93</v>
      </c>
    </row>
    <row r="61" spans="1:6">
      <c r="A61" s="89"/>
      <c r="B61" s="2038" t="s">
        <v>96</v>
      </c>
      <c r="C61" s="2039"/>
      <c r="D61" s="2039"/>
      <c r="E61" s="2040"/>
      <c r="F61" s="90"/>
    </row>
    <row r="62" spans="1:6" ht="25.5">
      <c r="A62" s="1275" t="s">
        <v>59</v>
      </c>
      <c r="B62" s="1276" t="s">
        <v>97</v>
      </c>
      <c r="C62" s="1277" t="s">
        <v>98</v>
      </c>
      <c r="D62" s="2028" t="s">
        <v>60</v>
      </c>
      <c r="E62" s="2029"/>
      <c r="F62" s="76" t="s">
        <v>99</v>
      </c>
    </row>
    <row r="63" spans="1:6">
      <c r="A63" s="1255">
        <v>44859</v>
      </c>
      <c r="B63" s="1256" t="s">
        <v>2289</v>
      </c>
      <c r="C63" s="1257">
        <f>28.41+24.42</f>
        <v>52.83</v>
      </c>
      <c r="D63" s="1962" t="s">
        <v>2290</v>
      </c>
      <c r="E63" s="1963"/>
      <c r="F63" s="62" t="s">
        <v>2147</v>
      </c>
    </row>
    <row r="64" spans="1:6">
      <c r="A64" s="1255">
        <v>44881</v>
      </c>
      <c r="B64" s="1256" t="s">
        <v>2291</v>
      </c>
      <c r="C64" s="1257">
        <v>46.38</v>
      </c>
      <c r="D64" s="1962" t="s">
        <v>2290</v>
      </c>
      <c r="E64" s="1963"/>
      <c r="F64" s="1293" t="s">
        <v>2292</v>
      </c>
    </row>
    <row r="65" spans="1:6">
      <c r="A65" s="1255">
        <v>44886</v>
      </c>
      <c r="B65" s="1256" t="s">
        <v>2293</v>
      </c>
      <c r="C65" s="1257">
        <v>68.709999999999994</v>
      </c>
      <c r="D65" s="1962" t="s">
        <v>2294</v>
      </c>
      <c r="E65" s="1963"/>
      <c r="F65" s="1293" t="s">
        <v>2295</v>
      </c>
    </row>
    <row r="66" spans="1:6" ht="15.75" thickBot="1">
      <c r="A66" s="63"/>
      <c r="B66" s="1511" t="s">
        <v>61</v>
      </c>
      <c r="C66" s="1363">
        <f>MEDIAN(C63:C65)</f>
        <v>52.83</v>
      </c>
      <c r="D66" s="2030"/>
      <c r="E66" s="2031"/>
      <c r="F66" s="65"/>
    </row>
    <row r="67" spans="1:6" ht="15.75" thickBot="1"/>
    <row r="68" spans="1:6" ht="15.75" thickBot="1">
      <c r="A68" s="262" t="s">
        <v>508</v>
      </c>
      <c r="B68" s="263" t="s">
        <v>2187</v>
      </c>
      <c r="C68" s="83" t="s">
        <v>55</v>
      </c>
      <c r="D68" s="108"/>
      <c r="E68" s="108"/>
      <c r="F68" s="109"/>
    </row>
    <row r="69" spans="1:6">
      <c r="A69" s="2032" t="s">
        <v>507</v>
      </c>
      <c r="B69" s="2033"/>
      <c r="C69" s="2033"/>
      <c r="D69" s="2033"/>
      <c r="E69" s="2033"/>
      <c r="F69" s="2034"/>
    </row>
    <row r="70" spans="1:6" ht="30">
      <c r="A70" s="1499"/>
      <c r="B70" s="1500" t="s">
        <v>48</v>
      </c>
      <c r="C70" s="1501" t="s">
        <v>49</v>
      </c>
      <c r="D70" s="1502" t="s">
        <v>50</v>
      </c>
      <c r="E70" s="1503" t="s">
        <v>51</v>
      </c>
      <c r="F70" s="30" t="s">
        <v>52</v>
      </c>
    </row>
    <row r="71" spans="1:6">
      <c r="A71" s="1301">
        <v>88264</v>
      </c>
      <c r="B71" s="1504" t="s">
        <v>94</v>
      </c>
      <c r="C71" s="1302" t="s">
        <v>57</v>
      </c>
      <c r="D71" s="1448">
        <v>1</v>
      </c>
      <c r="E71" s="1287">
        <v>25.54</v>
      </c>
      <c r="F71" s="265">
        <f>TRUNC(D71*E71,2)</f>
        <v>25.54</v>
      </c>
    </row>
    <row r="72" spans="1:6" ht="25.5">
      <c r="A72" s="1449">
        <v>88247</v>
      </c>
      <c r="B72" s="1504" t="s">
        <v>93</v>
      </c>
      <c r="C72" s="1302" t="s">
        <v>57</v>
      </c>
      <c r="D72" s="1448">
        <v>1</v>
      </c>
      <c r="E72" s="1006">
        <v>21</v>
      </c>
      <c r="F72" s="265">
        <f>TRUNC(D72*E72,2)</f>
        <v>21</v>
      </c>
    </row>
    <row r="73" spans="1:6">
      <c r="A73" s="1505"/>
      <c r="B73" s="1506"/>
      <c r="C73" s="1507"/>
      <c r="D73" s="1508"/>
      <c r="E73" s="1046" t="s">
        <v>58</v>
      </c>
      <c r="F73" s="33">
        <f>SUM(F71:F72)</f>
        <v>46.54</v>
      </c>
    </row>
    <row r="74" spans="1:6" ht="30">
      <c r="A74" s="1515"/>
      <c r="B74" s="986" t="s">
        <v>95</v>
      </c>
      <c r="C74" s="991" t="s">
        <v>49</v>
      </c>
      <c r="D74" s="1440" t="s">
        <v>50</v>
      </c>
      <c r="E74" s="1276" t="s">
        <v>62</v>
      </c>
      <c r="F74" s="38" t="s">
        <v>52</v>
      </c>
    </row>
    <row r="75" spans="1:6">
      <c r="A75" s="1449" t="s">
        <v>65</v>
      </c>
      <c r="B75" s="1516" t="s">
        <v>1130</v>
      </c>
      <c r="C75" s="1302" t="s">
        <v>55</v>
      </c>
      <c r="D75" s="1303">
        <v>1</v>
      </c>
      <c r="E75" s="1006">
        <f>C83</f>
        <v>2104.31</v>
      </c>
      <c r="F75" s="265">
        <f>TRUNC(D75*E75,2)</f>
        <v>2104.31</v>
      </c>
    </row>
    <row r="76" spans="1:6" ht="15.75" thickBot="1">
      <c r="A76" s="1142"/>
      <c r="B76" s="1143"/>
      <c r="C76" s="1144"/>
      <c r="D76" s="1145"/>
      <c r="E76" s="1046" t="s">
        <v>58</v>
      </c>
      <c r="F76" s="1161">
        <f>SUM(F75:F75)</f>
        <v>2104.31</v>
      </c>
    </row>
    <row r="77" spans="1:6" ht="15.75" thickBot="1">
      <c r="A77" s="88"/>
      <c r="B77" s="2035" t="s">
        <v>53</v>
      </c>
      <c r="C77" s="2036"/>
      <c r="D77" s="2036"/>
      <c r="E77" s="2037"/>
      <c r="F77" s="268">
        <f>F73+F76</f>
        <v>2150.85</v>
      </c>
    </row>
    <row r="78" spans="1:6">
      <c r="A78" s="89"/>
      <c r="B78" s="2038" t="s">
        <v>96</v>
      </c>
      <c r="C78" s="2039"/>
      <c r="D78" s="2039"/>
      <c r="E78" s="2040"/>
      <c r="F78" s="90"/>
    </row>
    <row r="79" spans="1:6" ht="25.5">
      <c r="A79" s="1275" t="s">
        <v>59</v>
      </c>
      <c r="B79" s="1276" t="s">
        <v>97</v>
      </c>
      <c r="C79" s="1277" t="s">
        <v>98</v>
      </c>
      <c r="D79" s="2028" t="s">
        <v>60</v>
      </c>
      <c r="E79" s="2029"/>
      <c r="F79" s="76" t="s">
        <v>99</v>
      </c>
    </row>
    <row r="80" spans="1:6">
      <c r="A80" s="1255">
        <v>44859</v>
      </c>
      <c r="B80" s="1256" t="s">
        <v>2289</v>
      </c>
      <c r="C80" s="1257">
        <f>2048.11+56.2</f>
        <v>2104.31</v>
      </c>
      <c r="D80" s="1962" t="s">
        <v>2290</v>
      </c>
      <c r="E80" s="1963"/>
      <c r="F80" s="62" t="s">
        <v>2147</v>
      </c>
    </row>
    <row r="81" spans="1:6" ht="24">
      <c r="A81" s="1255">
        <v>44868</v>
      </c>
      <c r="B81" s="1256" t="s">
        <v>2296</v>
      </c>
      <c r="C81" s="1257">
        <v>1596.3</v>
      </c>
      <c r="D81" s="1962" t="s">
        <v>2297</v>
      </c>
      <c r="E81" s="1963"/>
      <c r="F81" s="1291" t="s">
        <v>2298</v>
      </c>
    </row>
    <row r="82" spans="1:6">
      <c r="A82" s="1255">
        <v>44869</v>
      </c>
      <c r="B82" s="1256" t="s">
        <v>2146</v>
      </c>
      <c r="C82" s="1257">
        <v>2441.98</v>
      </c>
      <c r="D82" s="1962" t="s">
        <v>2144</v>
      </c>
      <c r="E82" s="1963"/>
      <c r="F82" s="966" t="s">
        <v>2145</v>
      </c>
    </row>
    <row r="83" spans="1:6" ht="15.75" thickBot="1">
      <c r="A83" s="63"/>
      <c r="B83" s="1511" t="s">
        <v>61</v>
      </c>
      <c r="C83" s="1514">
        <f>MEDIAN(C80:C82)</f>
        <v>2104.31</v>
      </c>
      <c r="D83" s="2030"/>
      <c r="E83" s="2031"/>
      <c r="F83" s="65"/>
    </row>
    <row r="84" spans="1:6" ht="15.75" thickBot="1"/>
    <row r="85" spans="1:6" ht="15.75" thickBot="1">
      <c r="A85" s="262" t="s">
        <v>511</v>
      </c>
      <c r="B85" s="263" t="s">
        <v>509</v>
      </c>
      <c r="C85" s="83" t="s">
        <v>55</v>
      </c>
      <c r="D85" s="108"/>
      <c r="E85" s="108"/>
      <c r="F85" s="109"/>
    </row>
    <row r="86" spans="1:6">
      <c r="A86" s="2041" t="s">
        <v>510</v>
      </c>
      <c r="B86" s="2042"/>
      <c r="C86" s="2042"/>
      <c r="D86" s="2042"/>
      <c r="E86" s="2042"/>
      <c r="F86" s="2043"/>
    </row>
    <row r="87" spans="1:6" ht="30">
      <c r="A87" s="1499"/>
      <c r="B87" s="1500" t="s">
        <v>48</v>
      </c>
      <c r="C87" s="1501" t="s">
        <v>49</v>
      </c>
      <c r="D87" s="1502" t="s">
        <v>50</v>
      </c>
      <c r="E87" s="1503" t="s">
        <v>51</v>
      </c>
      <c r="F87" s="30" t="s">
        <v>52</v>
      </c>
    </row>
    <row r="88" spans="1:6">
      <c r="A88" s="1301">
        <v>88264</v>
      </c>
      <c r="B88" s="1504" t="s">
        <v>94</v>
      </c>
      <c r="C88" s="1302" t="s">
        <v>57</v>
      </c>
      <c r="D88" s="1512">
        <v>0.08</v>
      </c>
      <c r="E88" s="1287">
        <v>25.54</v>
      </c>
      <c r="F88" s="32">
        <f>TRUNC(D88*E88,2)</f>
        <v>2.04</v>
      </c>
    </row>
    <row r="89" spans="1:6" ht="25.5">
      <c r="A89" s="1449">
        <v>88247</v>
      </c>
      <c r="B89" s="1504" t="s">
        <v>93</v>
      </c>
      <c r="C89" s="1302" t="s">
        <v>57</v>
      </c>
      <c r="D89" s="1512">
        <v>1</v>
      </c>
      <c r="E89" s="1006">
        <v>21</v>
      </c>
      <c r="F89" s="32">
        <f>TRUNC(D89*E89,2)</f>
        <v>21</v>
      </c>
    </row>
    <row r="90" spans="1:6">
      <c r="A90" s="1505"/>
      <c r="B90" s="1506"/>
      <c r="C90" s="1507"/>
      <c r="D90" s="1508"/>
      <c r="E90" s="1046" t="s">
        <v>58</v>
      </c>
      <c r="F90" s="33">
        <f>SUM(F88:F89)</f>
        <v>23.04</v>
      </c>
    </row>
    <row r="91" spans="1:6" ht="30">
      <c r="A91" s="1515"/>
      <c r="B91" s="986" t="s">
        <v>95</v>
      </c>
      <c r="C91" s="1439" t="s">
        <v>49</v>
      </c>
      <c r="D91" s="1440" t="s">
        <v>50</v>
      </c>
      <c r="E91" s="1276" t="s">
        <v>62</v>
      </c>
      <c r="F91" s="38" t="s">
        <v>52</v>
      </c>
    </row>
    <row r="92" spans="1:6">
      <c r="A92" s="1449" t="s">
        <v>65</v>
      </c>
      <c r="B92" s="1256" t="s">
        <v>509</v>
      </c>
      <c r="C92" s="1302" t="s">
        <v>55</v>
      </c>
      <c r="D92" s="1513">
        <v>1</v>
      </c>
      <c r="E92" s="1146">
        <f>C100</f>
        <v>28.34</v>
      </c>
      <c r="F92" s="32">
        <f>TRUNC(D92*E92,2)</f>
        <v>28.34</v>
      </c>
    </row>
    <row r="93" spans="1:6" ht="15.75" thickBot="1">
      <c r="A93" s="1142"/>
      <c r="B93" s="1143"/>
      <c r="C93" s="1144"/>
      <c r="D93" s="1145"/>
      <c r="E93" s="1046" t="s">
        <v>58</v>
      </c>
      <c r="F93" s="989">
        <f>SUM(F92:F92)</f>
        <v>28.34</v>
      </c>
    </row>
    <row r="94" spans="1:6" ht="15.75" thickBot="1">
      <c r="A94" s="88"/>
      <c r="B94" s="2035" t="s">
        <v>53</v>
      </c>
      <c r="C94" s="2036"/>
      <c r="D94" s="2036"/>
      <c r="E94" s="2037"/>
      <c r="F94" s="91">
        <f>F90+F93</f>
        <v>51.379999999999995</v>
      </c>
    </row>
    <row r="95" spans="1:6">
      <c r="A95" s="89"/>
      <c r="B95" s="2038" t="s">
        <v>96</v>
      </c>
      <c r="C95" s="2039"/>
      <c r="D95" s="2039"/>
      <c r="E95" s="2040"/>
      <c r="F95" s="90"/>
    </row>
    <row r="96" spans="1:6" ht="25.5">
      <c r="A96" s="1275" t="s">
        <v>59</v>
      </c>
      <c r="B96" s="1276" t="s">
        <v>97</v>
      </c>
      <c r="C96" s="1277" t="s">
        <v>98</v>
      </c>
      <c r="D96" s="2028" t="s">
        <v>60</v>
      </c>
      <c r="E96" s="2029"/>
      <c r="F96" s="76" t="s">
        <v>99</v>
      </c>
    </row>
    <row r="97" spans="1:6">
      <c r="A97" s="1255">
        <v>44869</v>
      </c>
      <c r="B97" s="1256" t="s">
        <v>2146</v>
      </c>
      <c r="C97" s="1257">
        <v>18.86</v>
      </c>
      <c r="D97" s="1962" t="s">
        <v>2144</v>
      </c>
      <c r="E97" s="1963"/>
      <c r="F97" s="1293" t="s">
        <v>2145</v>
      </c>
    </row>
    <row r="98" spans="1:6">
      <c r="A98" s="1255">
        <v>44872</v>
      </c>
      <c r="B98" s="1256" t="s">
        <v>2299</v>
      </c>
      <c r="C98" s="1257">
        <v>60.84</v>
      </c>
      <c r="D98" s="1962" t="s">
        <v>2144</v>
      </c>
      <c r="E98" s="1963"/>
      <c r="F98" s="1293" t="s">
        <v>2300</v>
      </c>
    </row>
    <row r="99" spans="1:6">
      <c r="A99" s="1255">
        <v>44888</v>
      </c>
      <c r="B99" s="1256" t="s">
        <v>2301</v>
      </c>
      <c r="C99" s="1257">
        <v>28.34</v>
      </c>
      <c r="D99" s="1962" t="s">
        <v>2302</v>
      </c>
      <c r="E99" s="1963"/>
      <c r="F99" s="1293" t="s">
        <v>2303</v>
      </c>
    </row>
    <row r="100" spans="1:6" ht="15.75" thickBot="1">
      <c r="A100" s="63"/>
      <c r="B100" s="1511" t="s">
        <v>61</v>
      </c>
      <c r="C100" s="1363">
        <f>MEDIAN(C97:C99)</f>
        <v>28.34</v>
      </c>
      <c r="D100" s="2030"/>
      <c r="E100" s="2031"/>
      <c r="F100" s="65"/>
    </row>
    <row r="101" spans="1:6" ht="15.75" thickBot="1"/>
    <row r="102" spans="1:6" ht="15.75" thickBot="1">
      <c r="A102" s="262" t="s">
        <v>513</v>
      </c>
      <c r="B102" s="263" t="s">
        <v>512</v>
      </c>
      <c r="C102" s="83" t="s">
        <v>55</v>
      </c>
      <c r="D102" s="108"/>
      <c r="E102" s="108"/>
      <c r="F102" s="109"/>
    </row>
    <row r="103" spans="1:6">
      <c r="A103" s="2041" t="s">
        <v>510</v>
      </c>
      <c r="B103" s="2042"/>
      <c r="C103" s="2042"/>
      <c r="D103" s="2042"/>
      <c r="E103" s="2042"/>
      <c r="F103" s="2043"/>
    </row>
    <row r="104" spans="1:6" ht="30">
      <c r="A104" s="1499"/>
      <c r="B104" s="1500" t="s">
        <v>48</v>
      </c>
      <c r="C104" s="1501" t="s">
        <v>49</v>
      </c>
      <c r="D104" s="1502" t="s">
        <v>50</v>
      </c>
      <c r="E104" s="1503" t="s">
        <v>51</v>
      </c>
      <c r="F104" s="30" t="s">
        <v>52</v>
      </c>
    </row>
    <row r="105" spans="1:6">
      <c r="A105" s="1301">
        <v>88264</v>
      </c>
      <c r="B105" s="1504" t="s">
        <v>94</v>
      </c>
      <c r="C105" s="1302" t="s">
        <v>57</v>
      </c>
      <c r="D105" s="1512">
        <v>0.08</v>
      </c>
      <c r="E105" s="1287">
        <v>25.54</v>
      </c>
      <c r="F105" s="32">
        <f>TRUNC(D105*E105,2)</f>
        <v>2.04</v>
      </c>
    </row>
    <row r="106" spans="1:6" ht="25.5">
      <c r="A106" s="1449">
        <v>88247</v>
      </c>
      <c r="B106" s="1504" t="s">
        <v>93</v>
      </c>
      <c r="C106" s="1302" t="s">
        <v>57</v>
      </c>
      <c r="D106" s="1512">
        <v>1</v>
      </c>
      <c r="E106" s="1287">
        <v>21</v>
      </c>
      <c r="F106" s="32">
        <f>TRUNC(D106*E106,2)</f>
        <v>21</v>
      </c>
    </row>
    <row r="107" spans="1:6">
      <c r="A107" s="1517"/>
      <c r="B107" s="1518"/>
      <c r="C107" s="1519"/>
      <c r="D107" s="1520"/>
      <c r="E107" s="1521" t="s">
        <v>58</v>
      </c>
      <c r="F107" s="1522">
        <f>SUM(F105:F106)</f>
        <v>23.04</v>
      </c>
    </row>
    <row r="108" spans="1:6" ht="30">
      <c r="A108" s="1515"/>
      <c r="B108" s="986" t="s">
        <v>95</v>
      </c>
      <c r="C108" s="1439" t="s">
        <v>49</v>
      </c>
      <c r="D108" s="1440" t="s">
        <v>50</v>
      </c>
      <c r="E108" s="1276" t="s">
        <v>62</v>
      </c>
      <c r="F108" s="38" t="s">
        <v>52</v>
      </c>
    </row>
    <row r="109" spans="1:6">
      <c r="A109" s="1449" t="s">
        <v>65</v>
      </c>
      <c r="B109" s="1509" t="s">
        <v>512</v>
      </c>
      <c r="C109" s="1302" t="s">
        <v>55</v>
      </c>
      <c r="D109" s="1513">
        <v>1</v>
      </c>
      <c r="E109" s="1146">
        <f>C117</f>
        <v>31.88</v>
      </c>
      <c r="F109" s="32">
        <f>TRUNC(D109*E109,2)</f>
        <v>31.88</v>
      </c>
    </row>
    <row r="110" spans="1:6" ht="15.75" thickBot="1">
      <c r="A110" s="1142"/>
      <c r="B110" s="1143"/>
      <c r="C110" s="1144"/>
      <c r="D110" s="1145"/>
      <c r="E110" s="1046" t="s">
        <v>58</v>
      </c>
      <c r="F110" s="989">
        <f>SUM(F109:F109)</f>
        <v>31.88</v>
      </c>
    </row>
    <row r="111" spans="1:6" ht="15.75" thickBot="1">
      <c r="A111" s="88"/>
      <c r="B111" s="2035" t="s">
        <v>53</v>
      </c>
      <c r="C111" s="2036"/>
      <c r="D111" s="2036"/>
      <c r="E111" s="2037"/>
      <c r="F111" s="91">
        <f>F107+F110</f>
        <v>54.92</v>
      </c>
    </row>
    <row r="112" spans="1:6">
      <c r="A112" s="89"/>
      <c r="B112" s="2038" t="s">
        <v>96</v>
      </c>
      <c r="C112" s="2039"/>
      <c r="D112" s="2039"/>
      <c r="E112" s="2040"/>
      <c r="F112" s="90"/>
    </row>
    <row r="113" spans="1:6" ht="25.5">
      <c r="A113" s="1275" t="s">
        <v>59</v>
      </c>
      <c r="B113" s="1276" t="s">
        <v>97</v>
      </c>
      <c r="C113" s="1277" t="s">
        <v>98</v>
      </c>
      <c r="D113" s="2028" t="s">
        <v>60</v>
      </c>
      <c r="E113" s="2029"/>
      <c r="F113" s="76" t="s">
        <v>99</v>
      </c>
    </row>
    <row r="114" spans="1:6">
      <c r="A114" s="1255">
        <v>44876</v>
      </c>
      <c r="B114" s="1256" t="s">
        <v>2291</v>
      </c>
      <c r="C114" s="1257">
        <v>31.88</v>
      </c>
      <c r="D114" s="1962" t="s">
        <v>2290</v>
      </c>
      <c r="E114" s="1963"/>
      <c r="F114" s="966" t="s">
        <v>2292</v>
      </c>
    </row>
    <row r="115" spans="1:6">
      <c r="A115" s="1255">
        <v>44882</v>
      </c>
      <c r="B115" s="1256" t="s">
        <v>2299</v>
      </c>
      <c r="C115" s="1257">
        <v>30.77</v>
      </c>
      <c r="D115" s="1962" t="s">
        <v>2304</v>
      </c>
      <c r="E115" s="1963"/>
      <c r="F115" s="62" t="s">
        <v>2305</v>
      </c>
    </row>
    <row r="116" spans="1:6">
      <c r="A116" s="1255">
        <v>44882</v>
      </c>
      <c r="B116" s="1256" t="s">
        <v>2306</v>
      </c>
      <c r="C116" s="1257">
        <v>41.23</v>
      </c>
      <c r="D116" s="1962" t="s">
        <v>2307</v>
      </c>
      <c r="E116" s="1963"/>
      <c r="F116" s="62" t="s">
        <v>2308</v>
      </c>
    </row>
    <row r="117" spans="1:6" ht="15.75" thickBot="1">
      <c r="A117" s="63"/>
      <c r="B117" s="1511" t="s">
        <v>61</v>
      </c>
      <c r="C117" s="1514">
        <f>MEDIAN(C114:C116)</f>
        <v>31.88</v>
      </c>
      <c r="D117" s="2030"/>
      <c r="E117" s="2031"/>
      <c r="F117" s="65"/>
    </row>
    <row r="118" spans="1:6" ht="15.75" thickBot="1"/>
    <row r="119" spans="1:6" ht="15.75" thickBot="1">
      <c r="A119" s="262" t="s">
        <v>515</v>
      </c>
      <c r="B119" s="263" t="s">
        <v>1533</v>
      </c>
      <c r="C119" s="83" t="s">
        <v>55</v>
      </c>
      <c r="D119" s="108"/>
      <c r="E119" s="108"/>
      <c r="F119" s="109"/>
    </row>
    <row r="120" spans="1:6">
      <c r="A120" s="2041" t="s">
        <v>514</v>
      </c>
      <c r="B120" s="2042"/>
      <c r="C120" s="2042"/>
      <c r="D120" s="2042"/>
      <c r="E120" s="2042"/>
      <c r="F120" s="2043"/>
    </row>
    <row r="121" spans="1:6" ht="30">
      <c r="A121" s="1499"/>
      <c r="B121" s="1500" t="s">
        <v>48</v>
      </c>
      <c r="C121" s="1501" t="s">
        <v>49</v>
      </c>
      <c r="D121" s="1502" t="s">
        <v>50</v>
      </c>
      <c r="E121" s="1503" t="s">
        <v>51</v>
      </c>
      <c r="F121" s="30" t="s">
        <v>52</v>
      </c>
    </row>
    <row r="122" spans="1:6">
      <c r="A122" s="1301">
        <v>88264</v>
      </c>
      <c r="B122" s="1504" t="s">
        <v>94</v>
      </c>
      <c r="C122" s="1302" t="s">
        <v>57</v>
      </c>
      <c r="D122" s="1512">
        <v>0.5</v>
      </c>
      <c r="E122" s="1287">
        <v>25.54</v>
      </c>
      <c r="F122" s="32">
        <f>TRUNC(D122*E122,2)</f>
        <v>12.77</v>
      </c>
    </row>
    <row r="123" spans="1:6" ht="25.5">
      <c r="A123" s="1449">
        <v>88247</v>
      </c>
      <c r="B123" s="1504" t="s">
        <v>93</v>
      </c>
      <c r="C123" s="1302" t="s">
        <v>57</v>
      </c>
      <c r="D123" s="1512">
        <v>0.5</v>
      </c>
      <c r="E123" s="1006">
        <v>21</v>
      </c>
      <c r="F123" s="32">
        <f>TRUNC(D123*E123,2)</f>
        <v>10.5</v>
      </c>
    </row>
    <row r="124" spans="1:6">
      <c r="A124" s="1505"/>
      <c r="B124" s="1506"/>
      <c r="C124" s="1507"/>
      <c r="D124" s="1508"/>
      <c r="E124" s="1046" t="s">
        <v>58</v>
      </c>
      <c r="F124" s="33">
        <f>SUM(F122:F123)</f>
        <v>23.27</v>
      </c>
    </row>
    <row r="125" spans="1:6" ht="30">
      <c r="A125" s="1515"/>
      <c r="B125" s="986" t="s">
        <v>95</v>
      </c>
      <c r="C125" s="1439" t="s">
        <v>49</v>
      </c>
      <c r="D125" s="1440" t="s">
        <v>50</v>
      </c>
      <c r="E125" s="1276" t="s">
        <v>62</v>
      </c>
      <c r="F125" s="38" t="s">
        <v>52</v>
      </c>
    </row>
    <row r="126" spans="1:6">
      <c r="A126" s="1449" t="s">
        <v>65</v>
      </c>
      <c r="B126" s="1256" t="s">
        <v>1533</v>
      </c>
      <c r="C126" s="1302" t="s">
        <v>55</v>
      </c>
      <c r="D126" s="1513">
        <v>1</v>
      </c>
      <c r="E126" s="1146">
        <f>C134</f>
        <v>1056.56</v>
      </c>
      <c r="F126" s="32">
        <f>TRUNC(D126*E126,2)</f>
        <v>1056.56</v>
      </c>
    </row>
    <row r="127" spans="1:6" ht="15.75" thickBot="1">
      <c r="A127" s="1142"/>
      <c r="B127" s="1143"/>
      <c r="C127" s="1144"/>
      <c r="D127" s="1145"/>
      <c r="E127" s="1046" t="s">
        <v>58</v>
      </c>
      <c r="F127" s="989">
        <f>SUM(F126:F126)</f>
        <v>1056.56</v>
      </c>
    </row>
    <row r="128" spans="1:6" ht="15.75" thickBot="1">
      <c r="A128" s="88"/>
      <c r="B128" s="2035" t="s">
        <v>53</v>
      </c>
      <c r="C128" s="2036"/>
      <c r="D128" s="2036"/>
      <c r="E128" s="2037"/>
      <c r="F128" s="91">
        <f>F124+F127</f>
        <v>1079.83</v>
      </c>
    </row>
    <row r="129" spans="1:6">
      <c r="A129" s="89"/>
      <c r="B129" s="2038" t="s">
        <v>96</v>
      </c>
      <c r="C129" s="2039"/>
      <c r="D129" s="2039"/>
      <c r="E129" s="2040"/>
      <c r="F129" s="90"/>
    </row>
    <row r="130" spans="1:6" ht="25.5">
      <c r="A130" s="1275" t="s">
        <v>59</v>
      </c>
      <c r="B130" s="1276" t="s">
        <v>97</v>
      </c>
      <c r="C130" s="1277" t="s">
        <v>98</v>
      </c>
      <c r="D130" s="2028" t="s">
        <v>60</v>
      </c>
      <c r="E130" s="2029"/>
      <c r="F130" s="76" t="s">
        <v>99</v>
      </c>
    </row>
    <row r="131" spans="1:6">
      <c r="A131" s="1255">
        <v>44869</v>
      </c>
      <c r="B131" s="1256" t="s">
        <v>2146</v>
      </c>
      <c r="C131" s="1257">
        <v>1004.54</v>
      </c>
      <c r="D131" s="1962" t="s">
        <v>2144</v>
      </c>
      <c r="E131" s="1963"/>
      <c r="F131" s="1294" t="s">
        <v>2145</v>
      </c>
    </row>
    <row r="132" spans="1:6">
      <c r="A132" s="1255">
        <v>44872</v>
      </c>
      <c r="B132" s="1256" t="s">
        <v>2309</v>
      </c>
      <c r="C132" s="1257">
        <v>1142.9000000000001</v>
      </c>
      <c r="D132" s="1962" t="s">
        <v>2310</v>
      </c>
      <c r="E132" s="1963"/>
      <c r="F132" s="1294" t="s">
        <v>2311</v>
      </c>
    </row>
    <row r="133" spans="1:6">
      <c r="A133" s="1255">
        <v>44859</v>
      </c>
      <c r="B133" s="1256" t="s">
        <v>2137</v>
      </c>
      <c r="C133" s="1257">
        <v>1056.56</v>
      </c>
      <c r="D133" s="1962" t="s">
        <v>2290</v>
      </c>
      <c r="E133" s="1963"/>
      <c r="F133" s="1294" t="s">
        <v>2147</v>
      </c>
    </row>
    <row r="134" spans="1:6" ht="15.75" thickBot="1">
      <c r="A134" s="63"/>
      <c r="B134" s="1511" t="s">
        <v>61</v>
      </c>
      <c r="C134" s="1514">
        <f>MEDIAN(C131:C133)</f>
        <v>1056.56</v>
      </c>
      <c r="D134" s="2030"/>
      <c r="E134" s="2031"/>
      <c r="F134" s="65"/>
    </row>
    <row r="135" spans="1:6" ht="15.75" thickBot="1"/>
    <row r="136" spans="1:6" ht="26.25" thickBot="1">
      <c r="A136" s="262" t="s">
        <v>518</v>
      </c>
      <c r="B136" s="263" t="s">
        <v>2188</v>
      </c>
      <c r="C136" s="83" t="s">
        <v>55</v>
      </c>
      <c r="D136" s="108"/>
      <c r="E136" s="108"/>
      <c r="F136" s="109"/>
    </row>
    <row r="137" spans="1:6">
      <c r="A137" s="2041" t="s">
        <v>2189</v>
      </c>
      <c r="B137" s="2042"/>
      <c r="C137" s="2042"/>
      <c r="D137" s="2042"/>
      <c r="E137" s="2042"/>
      <c r="F137" s="2043"/>
    </row>
    <row r="138" spans="1:6" ht="30">
      <c r="A138" s="1499"/>
      <c r="B138" s="1500" t="s">
        <v>48</v>
      </c>
      <c r="C138" s="1501" t="s">
        <v>49</v>
      </c>
      <c r="D138" s="1502" t="s">
        <v>50</v>
      </c>
      <c r="E138" s="1503" t="s">
        <v>51</v>
      </c>
      <c r="F138" s="30" t="s">
        <v>52</v>
      </c>
    </row>
    <row r="139" spans="1:6">
      <c r="A139" s="1301">
        <v>88264</v>
      </c>
      <c r="B139" s="1504" t="s">
        <v>94</v>
      </c>
      <c r="C139" s="1302" t="s">
        <v>57</v>
      </c>
      <c r="D139" s="1512">
        <v>0.2</v>
      </c>
      <c r="E139" s="1287">
        <v>25.54</v>
      </c>
      <c r="F139" s="32">
        <f>TRUNC(D139*E139,2)</f>
        <v>5.0999999999999996</v>
      </c>
    </row>
    <row r="140" spans="1:6" ht="25.5">
      <c r="A140" s="1449">
        <v>88247</v>
      </c>
      <c r="B140" s="1504" t="s">
        <v>93</v>
      </c>
      <c r="C140" s="1302" t="s">
        <v>57</v>
      </c>
      <c r="D140" s="1512">
        <v>0.2</v>
      </c>
      <c r="E140" s="1006">
        <v>21</v>
      </c>
      <c r="F140" s="32">
        <f>TRUNC(D140*E140,2)</f>
        <v>4.2</v>
      </c>
    </row>
    <row r="141" spans="1:6">
      <c r="A141" s="1505"/>
      <c r="B141" s="1506"/>
      <c r="C141" s="1507"/>
      <c r="D141" s="1508"/>
      <c r="E141" s="1046" t="s">
        <v>58</v>
      </c>
      <c r="F141" s="33">
        <f>SUM(F139:F140)</f>
        <v>9.3000000000000007</v>
      </c>
    </row>
    <row r="142" spans="1:6" ht="30">
      <c r="A142" s="1515"/>
      <c r="B142" s="986" t="s">
        <v>95</v>
      </c>
      <c r="C142" s="1439" t="s">
        <v>49</v>
      </c>
      <c r="D142" s="1440" t="s">
        <v>50</v>
      </c>
      <c r="E142" s="1276" t="s">
        <v>62</v>
      </c>
      <c r="F142" s="38" t="s">
        <v>52</v>
      </c>
    </row>
    <row r="143" spans="1:6">
      <c r="A143" s="1449" t="s">
        <v>65</v>
      </c>
      <c r="B143" s="1256" t="s">
        <v>2190</v>
      </c>
      <c r="C143" s="1302" t="s">
        <v>55</v>
      </c>
      <c r="D143" s="1303">
        <v>1</v>
      </c>
      <c r="E143" s="1006">
        <f>C154</f>
        <v>106.83000000000001</v>
      </c>
      <c r="F143" s="265">
        <f>TRUNC(D143*E143,2)</f>
        <v>106.83</v>
      </c>
    </row>
    <row r="144" spans="1:6">
      <c r="A144" s="938">
        <v>4374</v>
      </c>
      <c r="B144" s="1016" t="s">
        <v>2191</v>
      </c>
      <c r="C144" s="1302" t="s">
        <v>55</v>
      </c>
      <c r="D144" s="1162">
        <v>2</v>
      </c>
      <c r="E144" s="1006">
        <v>0.37</v>
      </c>
      <c r="F144" s="265">
        <f t="shared" ref="F144:F146" si="0">TRUNC(D144*E144,2)</f>
        <v>0.74</v>
      </c>
    </row>
    <row r="145" spans="1:6">
      <c r="A145" s="1449" t="s">
        <v>65</v>
      </c>
      <c r="B145" s="1016" t="s">
        <v>2192</v>
      </c>
      <c r="C145" s="1302" t="s">
        <v>574</v>
      </c>
      <c r="D145" s="1303">
        <v>1</v>
      </c>
      <c r="E145" s="1006">
        <f>C166</f>
        <v>56.3</v>
      </c>
      <c r="F145" s="265">
        <f t="shared" si="0"/>
        <v>56.3</v>
      </c>
    </row>
    <row r="146" spans="1:6">
      <c r="A146" s="1449" t="s">
        <v>65</v>
      </c>
      <c r="B146" s="1016" t="s">
        <v>2424</v>
      </c>
      <c r="C146" s="1302" t="s">
        <v>54</v>
      </c>
      <c r="D146" s="1303">
        <v>1</v>
      </c>
      <c r="E146" s="1006">
        <f>C160</f>
        <v>5.2</v>
      </c>
      <c r="F146" s="265">
        <f t="shared" si="0"/>
        <v>5.2</v>
      </c>
    </row>
    <row r="147" spans="1:6" ht="15.75" thickBot="1">
      <c r="A147" s="1142"/>
      <c r="B147" s="1143"/>
      <c r="C147" s="1144"/>
      <c r="D147" s="1145"/>
      <c r="E147" s="1046" t="s">
        <v>58</v>
      </c>
      <c r="F147" s="989">
        <f>SUM(F143:F146)</f>
        <v>169.07</v>
      </c>
    </row>
    <row r="148" spans="1:6" ht="15.75" thickBot="1">
      <c r="A148" s="88"/>
      <c r="B148" s="2035" t="s">
        <v>53</v>
      </c>
      <c r="C148" s="2036"/>
      <c r="D148" s="2036"/>
      <c r="E148" s="2037"/>
      <c r="F148" s="91">
        <f>F141+F147</f>
        <v>178.37</v>
      </c>
    </row>
    <row r="149" spans="1:6">
      <c r="A149" s="89"/>
      <c r="B149" s="2038" t="s">
        <v>2193</v>
      </c>
      <c r="C149" s="2039"/>
      <c r="D149" s="2039"/>
      <c r="E149" s="2040"/>
      <c r="F149" s="90"/>
    </row>
    <row r="150" spans="1:6" ht="25.5">
      <c r="A150" s="1275" t="s">
        <v>59</v>
      </c>
      <c r="B150" s="1276" t="s">
        <v>97</v>
      </c>
      <c r="C150" s="1277" t="s">
        <v>98</v>
      </c>
      <c r="D150" s="2028" t="s">
        <v>60</v>
      </c>
      <c r="E150" s="2029"/>
      <c r="F150" s="76" t="s">
        <v>99</v>
      </c>
    </row>
    <row r="151" spans="1:6">
      <c r="A151" s="1255">
        <v>44861</v>
      </c>
      <c r="B151" s="1256" t="s">
        <v>2285</v>
      </c>
      <c r="C151" s="1257">
        <f>89.23+17.6</f>
        <v>106.83000000000001</v>
      </c>
      <c r="D151" s="1962" t="s">
        <v>2175</v>
      </c>
      <c r="E151" s="1963"/>
      <c r="F151" s="1291" t="s">
        <v>2286</v>
      </c>
    </row>
    <row r="152" spans="1:6">
      <c r="A152" s="1255">
        <v>44859</v>
      </c>
      <c r="B152" s="1256" t="s">
        <v>2194</v>
      </c>
      <c r="C152" s="1257">
        <f>82.56+28.23</f>
        <v>110.79</v>
      </c>
      <c r="D152" s="1962" t="s">
        <v>2195</v>
      </c>
      <c r="E152" s="1963"/>
      <c r="F152" s="62" t="s">
        <v>2147</v>
      </c>
    </row>
    <row r="153" spans="1:6">
      <c r="A153" s="1255">
        <v>44869</v>
      </c>
      <c r="B153" s="1256" t="s">
        <v>2146</v>
      </c>
      <c r="C153" s="1257">
        <v>92.52</v>
      </c>
      <c r="D153" s="1962" t="s">
        <v>2144</v>
      </c>
      <c r="E153" s="1963"/>
      <c r="F153" s="966" t="s">
        <v>2145</v>
      </c>
    </row>
    <row r="154" spans="1:6" ht="15.75" thickBot="1">
      <c r="A154" s="63"/>
      <c r="B154" s="1511" t="s">
        <v>61</v>
      </c>
      <c r="C154" s="1514">
        <f>MEDIAN(C151:C153)</f>
        <v>106.83000000000001</v>
      </c>
      <c r="D154" s="2030"/>
      <c r="E154" s="2031"/>
      <c r="F154" s="65"/>
    </row>
    <row r="155" spans="1:6">
      <c r="A155" s="89"/>
      <c r="B155" s="2038" t="s">
        <v>2425</v>
      </c>
      <c r="C155" s="2039"/>
      <c r="D155" s="2039"/>
      <c r="E155" s="2040"/>
      <c r="F155" s="90"/>
    </row>
    <row r="156" spans="1:6" ht="25.5">
      <c r="A156" s="1275" t="s">
        <v>59</v>
      </c>
      <c r="B156" s="1276" t="s">
        <v>97</v>
      </c>
      <c r="C156" s="1277" t="s">
        <v>98</v>
      </c>
      <c r="D156" s="2028" t="s">
        <v>60</v>
      </c>
      <c r="E156" s="2029"/>
      <c r="F156" s="76" t="s">
        <v>99</v>
      </c>
    </row>
    <row r="157" spans="1:6">
      <c r="A157" s="1255">
        <v>44861</v>
      </c>
      <c r="B157" s="1256" t="s">
        <v>2285</v>
      </c>
      <c r="C157" s="1257">
        <v>23.53</v>
      </c>
      <c r="D157" s="1962" t="s">
        <v>2175</v>
      </c>
      <c r="E157" s="1963"/>
      <c r="F157" s="1291" t="s">
        <v>2286</v>
      </c>
    </row>
    <row r="158" spans="1:6">
      <c r="A158" s="1255">
        <v>44869</v>
      </c>
      <c r="B158" s="1256" t="s">
        <v>2146</v>
      </c>
      <c r="C158" s="1257">
        <v>4.92</v>
      </c>
      <c r="D158" s="1962" t="s">
        <v>2144</v>
      </c>
      <c r="E158" s="1963"/>
      <c r="F158" s="966" t="s">
        <v>2145</v>
      </c>
    </row>
    <row r="159" spans="1:6">
      <c r="A159" s="1255">
        <v>44872</v>
      </c>
      <c r="B159" s="1256" t="s">
        <v>2312</v>
      </c>
      <c r="C159" s="1257">
        <v>5.2</v>
      </c>
      <c r="D159" s="1962" t="s">
        <v>2313</v>
      </c>
      <c r="E159" s="1963"/>
      <c r="F159" s="1295" t="s">
        <v>2314</v>
      </c>
    </row>
    <row r="160" spans="1:6" ht="15.75" thickBot="1">
      <c r="A160" s="63"/>
      <c r="B160" s="1511" t="s">
        <v>61</v>
      </c>
      <c r="C160" s="1514">
        <f>MEDIAN(C157:C159)</f>
        <v>5.2</v>
      </c>
      <c r="D160" s="2030"/>
      <c r="E160" s="2031"/>
      <c r="F160" s="65"/>
    </row>
    <row r="161" spans="1:6">
      <c r="A161" s="271"/>
      <c r="B161" s="2038" t="s">
        <v>2426</v>
      </c>
      <c r="C161" s="2039"/>
      <c r="D161" s="2039"/>
      <c r="E161" s="2040"/>
      <c r="F161" s="272"/>
    </row>
    <row r="162" spans="1:6" ht="25.5">
      <c r="A162" s="1275" t="s">
        <v>59</v>
      </c>
      <c r="B162" s="1276" t="s">
        <v>97</v>
      </c>
      <c r="C162" s="1277" t="s">
        <v>98</v>
      </c>
      <c r="D162" s="2028" t="s">
        <v>60</v>
      </c>
      <c r="E162" s="2029"/>
      <c r="F162" s="76" t="s">
        <v>99</v>
      </c>
    </row>
    <row r="163" spans="1:6" ht="24">
      <c r="A163" s="1255">
        <v>44861</v>
      </c>
      <c r="B163" s="1256" t="s">
        <v>2315</v>
      </c>
      <c r="C163" s="1257">
        <f>25.77+20.28</f>
        <v>46.05</v>
      </c>
      <c r="D163" s="1962" t="s">
        <v>2316</v>
      </c>
      <c r="E163" s="1963"/>
      <c r="F163" s="1291" t="s">
        <v>2317</v>
      </c>
    </row>
    <row r="164" spans="1:6">
      <c r="A164" s="1255">
        <v>44861</v>
      </c>
      <c r="B164" s="1256" t="s">
        <v>2318</v>
      </c>
      <c r="C164" s="1257">
        <f>69.9+25.99</f>
        <v>95.89</v>
      </c>
      <c r="D164" s="1962" t="s">
        <v>2319</v>
      </c>
      <c r="E164" s="1963"/>
      <c r="F164" s="1291" t="s">
        <v>2320</v>
      </c>
    </row>
    <row r="165" spans="1:6" ht="24">
      <c r="A165" s="1255">
        <v>44861</v>
      </c>
      <c r="B165" s="1256" t="s">
        <v>2321</v>
      </c>
      <c r="C165" s="1257">
        <f>33.24+23.06</f>
        <v>56.3</v>
      </c>
      <c r="D165" s="1962" t="s">
        <v>2322</v>
      </c>
      <c r="E165" s="1963"/>
      <c r="F165" s="1291" t="s">
        <v>2323</v>
      </c>
    </row>
    <row r="166" spans="1:6" ht="15.75" thickBot="1">
      <c r="A166" s="63"/>
      <c r="B166" s="1511" t="s">
        <v>61</v>
      </c>
      <c r="C166" s="1514">
        <f>MEDIAN(C163:C165)</f>
        <v>56.3</v>
      </c>
      <c r="D166" s="2030"/>
      <c r="E166" s="2031"/>
      <c r="F166" s="65"/>
    </row>
    <row r="167" spans="1:6" ht="15.75" thickBot="1">
      <c r="A167" s="55"/>
      <c r="B167" s="16"/>
      <c r="C167" s="16"/>
      <c r="D167" s="16"/>
      <c r="E167" s="16"/>
      <c r="F167" s="16"/>
    </row>
    <row r="168" spans="1:6" ht="15.75" thickBot="1">
      <c r="A168" s="262" t="s">
        <v>521</v>
      </c>
      <c r="B168" s="228" t="s">
        <v>2427</v>
      </c>
      <c r="C168" s="83" t="s">
        <v>55</v>
      </c>
      <c r="D168" s="108"/>
      <c r="E168" s="108"/>
      <c r="F168" s="109"/>
    </row>
    <row r="169" spans="1:6">
      <c r="A169" s="2041" t="s">
        <v>1557</v>
      </c>
      <c r="B169" s="2042"/>
      <c r="C169" s="2042"/>
      <c r="D169" s="2042"/>
      <c r="E169" s="2042"/>
      <c r="F169" s="2043"/>
    </row>
    <row r="170" spans="1:6" ht="30">
      <c r="A170" s="1499"/>
      <c r="B170" s="1500" t="s">
        <v>48</v>
      </c>
      <c r="C170" s="1501" t="s">
        <v>49</v>
      </c>
      <c r="D170" s="1502" t="s">
        <v>50</v>
      </c>
      <c r="E170" s="1503" t="s">
        <v>51</v>
      </c>
      <c r="F170" s="30" t="s">
        <v>52</v>
      </c>
    </row>
    <row r="171" spans="1:6">
      <c r="A171" s="1301">
        <v>88264</v>
      </c>
      <c r="B171" s="1504" t="s">
        <v>94</v>
      </c>
      <c r="C171" s="1302" t="s">
        <v>57</v>
      </c>
      <c r="D171" s="1512">
        <v>0.2</v>
      </c>
      <c r="E171" s="1287">
        <v>25.54</v>
      </c>
      <c r="F171" s="32">
        <f>TRUNC(D171*E171,2)</f>
        <v>5.0999999999999996</v>
      </c>
    </row>
    <row r="172" spans="1:6" ht="25.5">
      <c r="A172" s="1449">
        <v>88247</v>
      </c>
      <c r="B172" s="1504" t="s">
        <v>93</v>
      </c>
      <c r="C172" s="1302" t="s">
        <v>57</v>
      </c>
      <c r="D172" s="1512">
        <v>0.2</v>
      </c>
      <c r="E172" s="1006">
        <v>21</v>
      </c>
      <c r="F172" s="32">
        <f>TRUNC(D172*E172,2)</f>
        <v>4.2</v>
      </c>
    </row>
    <row r="173" spans="1:6">
      <c r="A173" s="1505"/>
      <c r="B173" s="1506"/>
      <c r="C173" s="1507"/>
      <c r="D173" s="1508"/>
      <c r="E173" s="1046" t="s">
        <v>58</v>
      </c>
      <c r="F173" s="33">
        <f>SUM(F171:F172)</f>
        <v>9.3000000000000007</v>
      </c>
    </row>
    <row r="174" spans="1:6" ht="30">
      <c r="A174" s="1515"/>
      <c r="B174" s="986" t="s">
        <v>95</v>
      </c>
      <c r="C174" s="1439" t="s">
        <v>49</v>
      </c>
      <c r="D174" s="1440" t="s">
        <v>50</v>
      </c>
      <c r="E174" s="1276" t="s">
        <v>62</v>
      </c>
      <c r="F174" s="38" t="s">
        <v>52</v>
      </c>
    </row>
    <row r="175" spans="1:6">
      <c r="A175" s="1449" t="s">
        <v>65</v>
      </c>
      <c r="B175" s="1256" t="s">
        <v>2428</v>
      </c>
      <c r="C175" s="1302" t="s">
        <v>55</v>
      </c>
      <c r="D175" s="1513">
        <v>1</v>
      </c>
      <c r="E175" s="1146">
        <f>C183</f>
        <v>228.63</v>
      </c>
      <c r="F175" s="32">
        <f>TRUNC(D175*E175,2)</f>
        <v>228.63</v>
      </c>
    </row>
    <row r="176" spans="1:6" ht="15.75" thickBot="1">
      <c r="A176" s="1142"/>
      <c r="B176" s="1143"/>
      <c r="C176" s="1144"/>
      <c r="D176" s="1145"/>
      <c r="E176" s="1046" t="s">
        <v>58</v>
      </c>
      <c r="F176" s="989">
        <f>SUM(F175:F175)</f>
        <v>228.63</v>
      </c>
    </row>
    <row r="177" spans="1:10" ht="15.75" thickBot="1">
      <c r="A177" s="88"/>
      <c r="B177" s="2035" t="s">
        <v>53</v>
      </c>
      <c r="C177" s="2036"/>
      <c r="D177" s="2036"/>
      <c r="E177" s="2037"/>
      <c r="F177" s="91">
        <f>F173+F176</f>
        <v>237.93</v>
      </c>
    </row>
    <row r="178" spans="1:10">
      <c r="A178" s="89"/>
      <c r="B178" s="2038" t="s">
        <v>96</v>
      </c>
      <c r="C178" s="2039"/>
      <c r="D178" s="2039"/>
      <c r="E178" s="2040"/>
      <c r="F178" s="90"/>
    </row>
    <row r="179" spans="1:10" ht="25.5">
      <c r="A179" s="1275" t="s">
        <v>59</v>
      </c>
      <c r="B179" s="1276" t="s">
        <v>97</v>
      </c>
      <c r="C179" s="1277" t="s">
        <v>98</v>
      </c>
      <c r="D179" s="2028" t="s">
        <v>60</v>
      </c>
      <c r="E179" s="2029"/>
      <c r="F179" s="76" t="s">
        <v>99</v>
      </c>
    </row>
    <row r="180" spans="1:10">
      <c r="A180" s="1255">
        <v>44861</v>
      </c>
      <c r="B180" s="1256" t="s">
        <v>2172</v>
      </c>
      <c r="C180" s="1257">
        <v>228.63</v>
      </c>
      <c r="D180" s="1962" t="s">
        <v>2175</v>
      </c>
      <c r="E180" s="1963"/>
      <c r="F180" s="966" t="s">
        <v>2176</v>
      </c>
      <c r="I180" s="179">
        <f>206.81+21.82</f>
        <v>228.63</v>
      </c>
      <c r="J180" s="630" t="s">
        <v>2330</v>
      </c>
    </row>
    <row r="181" spans="1:10">
      <c r="A181" s="1255">
        <v>44868</v>
      </c>
      <c r="B181" s="1256" t="s">
        <v>2324</v>
      </c>
      <c r="C181" s="1257">
        <v>91.21</v>
      </c>
      <c r="D181" s="1962" t="s">
        <v>2325</v>
      </c>
      <c r="E181" s="1963"/>
      <c r="F181" s="1296" t="s">
        <v>2326</v>
      </c>
      <c r="I181" s="327">
        <f>74.39+16.82</f>
        <v>91.210000000000008</v>
      </c>
      <c r="J181" s="630" t="s">
        <v>2331</v>
      </c>
    </row>
    <row r="182" spans="1:10">
      <c r="A182" s="1255">
        <v>44869</v>
      </c>
      <c r="B182" s="1016" t="s">
        <v>2327</v>
      </c>
      <c r="C182" s="1269">
        <v>423.99</v>
      </c>
      <c r="D182" s="1962" t="s">
        <v>2328</v>
      </c>
      <c r="E182" s="1963"/>
      <c r="F182" s="1297" t="s">
        <v>2329</v>
      </c>
      <c r="I182" s="327">
        <f>13.91+19.33</f>
        <v>33.239999999999995</v>
      </c>
      <c r="J182" s="630" t="s">
        <v>2177</v>
      </c>
    </row>
    <row r="183" spans="1:10" ht="15.75" thickBot="1">
      <c r="A183" s="63"/>
      <c r="B183" s="1511" t="s">
        <v>61</v>
      </c>
      <c r="C183" s="1514">
        <f>MEDIAN(C180:C182)</f>
        <v>228.63</v>
      </c>
      <c r="D183" s="2030"/>
      <c r="E183" s="2031"/>
      <c r="F183" s="65"/>
    </row>
    <row r="184" spans="1:10" ht="15.75" thickBot="1"/>
    <row r="185" spans="1:10" ht="15.75" thickBot="1">
      <c r="A185" s="262" t="s">
        <v>524</v>
      </c>
      <c r="B185" s="263" t="s">
        <v>1559</v>
      </c>
      <c r="C185" s="83" t="s">
        <v>55</v>
      </c>
      <c r="D185" s="108"/>
      <c r="E185" s="108"/>
      <c r="F185" s="109"/>
    </row>
    <row r="186" spans="1:10">
      <c r="A186" s="2041" t="s">
        <v>1612</v>
      </c>
      <c r="B186" s="2042"/>
      <c r="C186" s="2042"/>
      <c r="D186" s="2042"/>
      <c r="E186" s="2042"/>
      <c r="F186" s="2043"/>
    </row>
    <row r="187" spans="1:10" ht="30">
      <c r="A187" s="1499"/>
      <c r="B187" s="1500" t="s">
        <v>48</v>
      </c>
      <c r="C187" s="1501" t="s">
        <v>49</v>
      </c>
      <c r="D187" s="1502" t="s">
        <v>50</v>
      </c>
      <c r="E187" s="1503" t="s">
        <v>51</v>
      </c>
      <c r="F187" s="30" t="s">
        <v>52</v>
      </c>
    </row>
    <row r="188" spans="1:10">
      <c r="A188" s="1301">
        <v>88264</v>
      </c>
      <c r="B188" s="1504" t="s">
        <v>94</v>
      </c>
      <c r="C188" s="1302" t="s">
        <v>57</v>
      </c>
      <c r="D188" s="1512">
        <v>0.05</v>
      </c>
      <c r="E188" s="1287">
        <v>25.54</v>
      </c>
      <c r="F188" s="265">
        <f>TRUNC(D188*E188,2)</f>
        <v>1.27</v>
      </c>
    </row>
    <row r="189" spans="1:10" ht="25.5">
      <c r="A189" s="1449">
        <v>88247</v>
      </c>
      <c r="B189" s="1504" t="s">
        <v>93</v>
      </c>
      <c r="C189" s="1302" t="s">
        <v>57</v>
      </c>
      <c r="D189" s="1512">
        <v>2.5000000000000001E-2</v>
      </c>
      <c r="E189" s="1006">
        <v>21</v>
      </c>
      <c r="F189" s="265">
        <f>TRUNC(D189*E189,2)</f>
        <v>0.52</v>
      </c>
    </row>
    <row r="190" spans="1:10">
      <c r="A190" s="1505"/>
      <c r="B190" s="1506"/>
      <c r="C190" s="1507"/>
      <c r="D190" s="1508"/>
      <c r="E190" s="1046" t="s">
        <v>58</v>
      </c>
      <c r="F190" s="266">
        <f>SUM(F188:F189)</f>
        <v>1.79</v>
      </c>
    </row>
    <row r="191" spans="1:10" ht="30">
      <c r="A191" s="1515"/>
      <c r="B191" s="986" t="s">
        <v>95</v>
      </c>
      <c r="C191" s="1439" t="s">
        <v>49</v>
      </c>
      <c r="D191" s="1440" t="s">
        <v>50</v>
      </c>
      <c r="E191" s="1276" t="s">
        <v>62</v>
      </c>
      <c r="F191" s="38" t="s">
        <v>52</v>
      </c>
    </row>
    <row r="192" spans="1:10" ht="25.5">
      <c r="A192" s="1449">
        <v>39128</v>
      </c>
      <c r="B192" s="1256" t="s">
        <v>1613</v>
      </c>
      <c r="C192" s="1302" t="s">
        <v>55</v>
      </c>
      <c r="D192" s="1303">
        <v>1</v>
      </c>
      <c r="E192" s="1006">
        <v>2.41</v>
      </c>
      <c r="F192" s="265">
        <f>TRUNC(D192*E192,2)</f>
        <v>2.41</v>
      </c>
    </row>
    <row r="193" spans="1:6" ht="15.75" thickBot="1">
      <c r="A193" s="1142"/>
      <c r="B193" s="1143"/>
      <c r="C193" s="1144"/>
      <c r="D193" s="1145"/>
      <c r="E193" s="1046" t="s">
        <v>58</v>
      </c>
      <c r="F193" s="1161">
        <f>SUM(F192:F192)</f>
        <v>2.41</v>
      </c>
    </row>
    <row r="194" spans="1:6" ht="15.75" thickBot="1">
      <c r="A194" s="88"/>
      <c r="B194" s="2035" t="s">
        <v>53</v>
      </c>
      <c r="C194" s="2036"/>
      <c r="D194" s="2036"/>
      <c r="E194" s="2037"/>
      <c r="F194" s="268">
        <f>F190+F193</f>
        <v>4.2</v>
      </c>
    </row>
    <row r="195" spans="1:6" ht="15.75" thickBot="1"/>
    <row r="196" spans="1:6" ht="39" thickBot="1">
      <c r="A196" s="262" t="s">
        <v>526</v>
      </c>
      <c r="B196" s="263" t="s">
        <v>2196</v>
      </c>
      <c r="C196" s="83" t="s">
        <v>55</v>
      </c>
      <c r="D196" s="108"/>
      <c r="E196" s="108"/>
      <c r="F196" s="109"/>
    </row>
    <row r="197" spans="1:6">
      <c r="A197" s="2041" t="s">
        <v>1612</v>
      </c>
      <c r="B197" s="2042"/>
      <c r="C197" s="2042"/>
      <c r="D197" s="2042"/>
      <c r="E197" s="2042"/>
      <c r="F197" s="2043"/>
    </row>
    <row r="198" spans="1:6" ht="30">
      <c r="A198" s="1499"/>
      <c r="B198" s="1500" t="s">
        <v>48</v>
      </c>
      <c r="C198" s="1501" t="s">
        <v>49</v>
      </c>
      <c r="D198" s="1502" t="s">
        <v>50</v>
      </c>
      <c r="E198" s="1503" t="s">
        <v>51</v>
      </c>
      <c r="F198" s="30" t="s">
        <v>52</v>
      </c>
    </row>
    <row r="199" spans="1:6" ht="25.5">
      <c r="A199" s="1301">
        <v>95541</v>
      </c>
      <c r="B199" s="1256" t="s">
        <v>2197</v>
      </c>
      <c r="C199" s="1302" t="s">
        <v>55</v>
      </c>
      <c r="D199" s="1448">
        <v>1</v>
      </c>
      <c r="E199" s="1287">
        <v>4.4400000000000004</v>
      </c>
      <c r="F199" s="265">
        <f>TRUNC(D199*E199,2)</f>
        <v>4.4400000000000004</v>
      </c>
    </row>
    <row r="200" spans="1:6">
      <c r="A200" s="1505"/>
      <c r="B200" s="1506"/>
      <c r="C200" s="1507"/>
      <c r="D200" s="1508"/>
      <c r="E200" s="1046" t="s">
        <v>58</v>
      </c>
      <c r="F200" s="33">
        <f>SUM(F199:F199)</f>
        <v>4.4400000000000004</v>
      </c>
    </row>
    <row r="201" spans="1:6" ht="30">
      <c r="A201" s="1515"/>
      <c r="B201" s="986" t="s">
        <v>95</v>
      </c>
      <c r="C201" s="1439" t="s">
        <v>49</v>
      </c>
      <c r="D201" s="1440" t="s">
        <v>50</v>
      </c>
      <c r="E201" s="1276" t="s">
        <v>62</v>
      </c>
      <c r="F201" s="38" t="s">
        <v>52</v>
      </c>
    </row>
    <row r="202" spans="1:6" ht="38.25">
      <c r="A202" s="1449">
        <v>11950</v>
      </c>
      <c r="B202" s="1256" t="s">
        <v>2168</v>
      </c>
      <c r="C202" s="1302" t="s">
        <v>55</v>
      </c>
      <c r="D202" s="1303">
        <v>1</v>
      </c>
      <c r="E202" s="1006">
        <v>0.2</v>
      </c>
      <c r="F202" s="265">
        <f>TRUNC(D202*E202,2)</f>
        <v>0.2</v>
      </c>
    </row>
    <row r="203" spans="1:6" ht="15.75" thickBot="1">
      <c r="A203" s="1202"/>
      <c r="B203" s="1523"/>
      <c r="C203" s="1524"/>
      <c r="D203" s="1525"/>
      <c r="E203" s="1526" t="s">
        <v>58</v>
      </c>
      <c r="F203" s="1013">
        <f>SUM(F202:F202)</f>
        <v>0.2</v>
      </c>
    </row>
    <row r="204" spans="1:6" ht="15.75" thickBot="1">
      <c r="A204" s="88"/>
      <c r="B204" s="2035" t="s">
        <v>53</v>
      </c>
      <c r="C204" s="2036"/>
      <c r="D204" s="2036"/>
      <c r="E204" s="2037"/>
      <c r="F204" s="268">
        <f>F200+F203</f>
        <v>4.6400000000000006</v>
      </c>
    </row>
    <row r="205" spans="1:6" ht="15.75" thickBot="1"/>
    <row r="206" spans="1:6" ht="26.25" thickBot="1">
      <c r="A206" s="274" t="s">
        <v>527</v>
      </c>
      <c r="B206" s="275" t="s">
        <v>1541</v>
      </c>
      <c r="C206" s="276" t="s">
        <v>55</v>
      </c>
      <c r="D206" s="277"/>
      <c r="E206" s="277"/>
      <c r="F206" s="278"/>
    </row>
    <row r="207" spans="1:6">
      <c r="A207" s="2044" t="s">
        <v>528</v>
      </c>
      <c r="B207" s="2045"/>
      <c r="C207" s="2045"/>
      <c r="D207" s="2045"/>
      <c r="E207" s="2045"/>
      <c r="F207" s="2046"/>
    </row>
    <row r="208" spans="1:6" ht="25.5">
      <c r="A208" s="1527"/>
      <c r="B208" s="1528" t="s">
        <v>48</v>
      </c>
      <c r="C208" s="1529" t="s">
        <v>49</v>
      </c>
      <c r="D208" s="1530" t="s">
        <v>50</v>
      </c>
      <c r="E208" s="1531" t="s">
        <v>51</v>
      </c>
      <c r="F208" s="182" t="s">
        <v>52</v>
      </c>
    </row>
    <row r="209" spans="1:6">
      <c r="A209" s="1532">
        <v>88309</v>
      </c>
      <c r="B209" s="933" t="s">
        <v>103</v>
      </c>
      <c r="C209" s="1470" t="s">
        <v>57</v>
      </c>
      <c r="D209" s="1533">
        <v>2.42</v>
      </c>
      <c r="E209" s="1298">
        <v>24.59</v>
      </c>
      <c r="F209" s="280">
        <f>TRUNC(D209*E209,2)</f>
        <v>59.5</v>
      </c>
    </row>
    <row r="210" spans="1:6">
      <c r="A210" s="1477">
        <v>88316</v>
      </c>
      <c r="B210" s="1509" t="s">
        <v>66</v>
      </c>
      <c r="C210" s="1470" t="s">
        <v>57</v>
      </c>
      <c r="D210" s="1533">
        <v>4.0999999999999996</v>
      </c>
      <c r="E210" s="1150">
        <v>19.45</v>
      </c>
      <c r="F210" s="280">
        <f>TRUNC(D210*E210,2)</f>
        <v>79.739999999999995</v>
      </c>
    </row>
    <row r="211" spans="1:6">
      <c r="A211" s="1534"/>
      <c r="B211" s="1535"/>
      <c r="C211" s="1536"/>
      <c r="D211" s="1537"/>
      <c r="E211" s="1151" t="s">
        <v>58</v>
      </c>
      <c r="F211" s="281">
        <f>SUM(F209:F210)</f>
        <v>139.24</v>
      </c>
    </row>
    <row r="212" spans="1:6" ht="25.5">
      <c r="A212" s="1468"/>
      <c r="B212" s="1136" t="s">
        <v>95</v>
      </c>
      <c r="C212" s="1538" t="s">
        <v>49</v>
      </c>
      <c r="D212" s="1539" t="s">
        <v>50</v>
      </c>
      <c r="E212" s="1529" t="s">
        <v>62</v>
      </c>
      <c r="F212" s="282" t="s">
        <v>52</v>
      </c>
    </row>
    <row r="213" spans="1:6" ht="25.5">
      <c r="A213" s="1540">
        <v>43059</v>
      </c>
      <c r="B213" s="1509" t="s">
        <v>529</v>
      </c>
      <c r="C213" s="1470" t="s">
        <v>100</v>
      </c>
      <c r="D213" s="1541">
        <v>0.56000000000000005</v>
      </c>
      <c r="E213" s="1150">
        <v>10.08</v>
      </c>
      <c r="F213" s="280">
        <f>TRUNC(D213*E213,2)</f>
        <v>5.64</v>
      </c>
    </row>
    <row r="214" spans="1:6" ht="25.5">
      <c r="A214" s="1540">
        <v>367</v>
      </c>
      <c r="B214" s="1542" t="s">
        <v>530</v>
      </c>
      <c r="C214" s="1153" t="s">
        <v>47</v>
      </c>
      <c r="D214" s="1154">
        <v>5.0400000000000002E-3</v>
      </c>
      <c r="E214" s="1150">
        <v>126.63</v>
      </c>
      <c r="F214" s="280">
        <f t="shared" ref="F214:F221" si="1">TRUNC(D214*E214,2)</f>
        <v>0.63</v>
      </c>
    </row>
    <row r="215" spans="1:6" ht="25.5">
      <c r="A215" s="1540">
        <v>370</v>
      </c>
      <c r="B215" s="1542" t="s">
        <v>412</v>
      </c>
      <c r="C215" s="1153" t="s">
        <v>47</v>
      </c>
      <c r="D215" s="1203">
        <v>7.0000000000000007E-2</v>
      </c>
      <c r="E215" s="1150">
        <v>125</v>
      </c>
      <c r="F215" s="280">
        <f t="shared" si="1"/>
        <v>8.75</v>
      </c>
    </row>
    <row r="216" spans="1:6">
      <c r="A216" s="1540">
        <v>1106</v>
      </c>
      <c r="B216" s="1542" t="s">
        <v>531</v>
      </c>
      <c r="C216" s="1470" t="s">
        <v>100</v>
      </c>
      <c r="D216" s="1152">
        <v>5.78</v>
      </c>
      <c r="E216" s="1150">
        <v>0.95</v>
      </c>
      <c r="F216" s="280">
        <f t="shared" si="1"/>
        <v>5.49</v>
      </c>
    </row>
    <row r="217" spans="1:6" ht="25.5">
      <c r="A217" s="1540">
        <v>1358</v>
      </c>
      <c r="B217" s="1542" t="s">
        <v>532</v>
      </c>
      <c r="C217" s="1153" t="s">
        <v>46</v>
      </c>
      <c r="D217" s="1152">
        <v>0.08</v>
      </c>
      <c r="E217" s="1150">
        <v>78.69</v>
      </c>
      <c r="F217" s="280">
        <f t="shared" si="1"/>
        <v>6.29</v>
      </c>
    </row>
    <row r="218" spans="1:6">
      <c r="A218" s="1540">
        <v>1379</v>
      </c>
      <c r="B218" s="1542" t="s">
        <v>172</v>
      </c>
      <c r="C218" s="1470" t="s">
        <v>100</v>
      </c>
      <c r="D218" s="1152">
        <v>16.47</v>
      </c>
      <c r="E218" s="1150">
        <v>0.95</v>
      </c>
      <c r="F218" s="280">
        <f t="shared" si="1"/>
        <v>15.64</v>
      </c>
    </row>
    <row r="219" spans="1:6" ht="25.5">
      <c r="A219" s="1540">
        <v>4718</v>
      </c>
      <c r="B219" s="1542" t="s">
        <v>413</v>
      </c>
      <c r="C219" s="1153" t="s">
        <v>47</v>
      </c>
      <c r="D219" s="1154">
        <v>5.8399999999999997E-3</v>
      </c>
      <c r="E219" s="1150">
        <v>108.18</v>
      </c>
      <c r="F219" s="280">
        <f t="shared" si="1"/>
        <v>0.63</v>
      </c>
    </row>
    <row r="220" spans="1:6" ht="25.5">
      <c r="A220" s="1540">
        <v>4722</v>
      </c>
      <c r="B220" s="1542" t="s">
        <v>533</v>
      </c>
      <c r="C220" s="1153" t="s">
        <v>47</v>
      </c>
      <c r="D220" s="1154">
        <v>5.8399999999999997E-3</v>
      </c>
      <c r="E220" s="1150">
        <v>101.65</v>
      </c>
      <c r="F220" s="280">
        <f t="shared" si="1"/>
        <v>0.59</v>
      </c>
    </row>
    <row r="221" spans="1:6">
      <c r="A221" s="1540">
        <v>7258</v>
      </c>
      <c r="B221" s="1542" t="s">
        <v>173</v>
      </c>
      <c r="C221" s="1153" t="s">
        <v>55</v>
      </c>
      <c r="D221" s="1152">
        <v>89</v>
      </c>
      <c r="E221" s="1150">
        <v>0.92</v>
      </c>
      <c r="F221" s="280">
        <f t="shared" si="1"/>
        <v>81.88</v>
      </c>
    </row>
    <row r="222" spans="1:6" ht="15.75" thickBot="1">
      <c r="A222" s="1543"/>
      <c r="B222" s="1155"/>
      <c r="C222" s="1156"/>
      <c r="D222" s="1157"/>
      <c r="E222" s="1151" t="s">
        <v>58</v>
      </c>
      <c r="F222" s="1135">
        <f>SUM(F213:F221)</f>
        <v>125.53999999999999</v>
      </c>
    </row>
    <row r="223" spans="1:6" ht="15.75" thickBot="1">
      <c r="A223" s="1544"/>
      <c r="B223" s="2047" t="s">
        <v>53</v>
      </c>
      <c r="C223" s="2047"/>
      <c r="D223" s="2047"/>
      <c r="E223" s="2047"/>
      <c r="F223" s="1545">
        <f>F211+F222</f>
        <v>264.77999999999997</v>
      </c>
    </row>
    <row r="224" spans="1:6" ht="15.75" thickBot="1"/>
    <row r="225" spans="1:6" ht="26.25" thickBot="1">
      <c r="A225" s="262" t="s">
        <v>534</v>
      </c>
      <c r="B225" s="263" t="s">
        <v>1542</v>
      </c>
      <c r="C225" s="83" t="s">
        <v>55</v>
      </c>
      <c r="D225" s="108"/>
      <c r="E225" s="108"/>
      <c r="F225" s="109"/>
    </row>
    <row r="226" spans="1:6">
      <c r="A226" s="2041" t="s">
        <v>1544</v>
      </c>
      <c r="B226" s="2042"/>
      <c r="C226" s="2042"/>
      <c r="D226" s="2042"/>
      <c r="E226" s="2042"/>
      <c r="F226" s="2043"/>
    </row>
    <row r="227" spans="1:6" ht="30">
      <c r="A227" s="1499"/>
      <c r="B227" s="1500" t="s">
        <v>48</v>
      </c>
      <c r="C227" s="1501" t="s">
        <v>49</v>
      </c>
      <c r="D227" s="1502" t="s">
        <v>50</v>
      </c>
      <c r="E227" s="1503" t="s">
        <v>51</v>
      </c>
      <c r="F227" s="30" t="s">
        <v>52</v>
      </c>
    </row>
    <row r="228" spans="1:6">
      <c r="A228" s="1301">
        <v>88264</v>
      </c>
      <c r="B228" s="1504" t="s">
        <v>94</v>
      </c>
      <c r="C228" s="1302" t="s">
        <v>57</v>
      </c>
      <c r="D228" s="1448">
        <v>0.34599999999999997</v>
      </c>
      <c r="E228" s="1287">
        <v>25.54</v>
      </c>
      <c r="F228" s="265">
        <f>TRUNC(D228*E228,2)</f>
        <v>8.83</v>
      </c>
    </row>
    <row r="229" spans="1:6" ht="25.5">
      <c r="A229" s="1449">
        <v>88247</v>
      </c>
      <c r="B229" s="1504" t="s">
        <v>93</v>
      </c>
      <c r="C229" s="1302" t="s">
        <v>57</v>
      </c>
      <c r="D229" s="1448">
        <v>0.34599999999999997</v>
      </c>
      <c r="E229" s="1006">
        <v>21</v>
      </c>
      <c r="F229" s="265">
        <f>TRUNC(D229*E229,2)</f>
        <v>7.26</v>
      </c>
    </row>
    <row r="230" spans="1:6">
      <c r="A230" s="1505"/>
      <c r="B230" s="1506"/>
      <c r="C230" s="1507"/>
      <c r="D230" s="1508"/>
      <c r="E230" s="1046" t="s">
        <v>58</v>
      </c>
      <c r="F230" s="266">
        <f>SUM(F228:F229)</f>
        <v>16.09</v>
      </c>
    </row>
    <row r="231" spans="1:6" ht="30">
      <c r="A231" s="1305"/>
      <c r="B231" s="986" t="s">
        <v>95</v>
      </c>
      <c r="C231" s="1439" t="s">
        <v>49</v>
      </c>
      <c r="D231" s="1440" t="s">
        <v>50</v>
      </c>
      <c r="E231" s="1276" t="s">
        <v>62</v>
      </c>
      <c r="F231" s="38" t="s">
        <v>52</v>
      </c>
    </row>
    <row r="232" spans="1:6" ht="25.5">
      <c r="A232" s="1449">
        <v>39771</v>
      </c>
      <c r="B232" s="1256" t="s">
        <v>1545</v>
      </c>
      <c r="C232" s="1302" t="s">
        <v>55</v>
      </c>
      <c r="D232" s="1303">
        <v>1</v>
      </c>
      <c r="E232" s="1006">
        <v>42.05</v>
      </c>
      <c r="F232" s="265">
        <f>TRUNC(D232*E232,2)</f>
        <v>42.05</v>
      </c>
    </row>
    <row r="233" spans="1:6" ht="15.75" thickBot="1">
      <c r="A233" s="1142"/>
      <c r="B233" s="1143"/>
      <c r="C233" s="1144"/>
      <c r="D233" s="1145"/>
      <c r="E233" s="1046" t="s">
        <v>58</v>
      </c>
      <c r="F233" s="1161">
        <f>SUM(F232:F232)</f>
        <v>42.05</v>
      </c>
    </row>
    <row r="234" spans="1:6" ht="15.75" thickBot="1">
      <c r="A234" s="88"/>
      <c r="B234" s="2048" t="s">
        <v>53</v>
      </c>
      <c r="C234" s="2048"/>
      <c r="D234" s="2048"/>
      <c r="E234" s="2048"/>
      <c r="F234" s="268">
        <f>F230+F233</f>
        <v>58.14</v>
      </c>
    </row>
    <row r="235" spans="1:6" ht="15.75" thickBot="1"/>
    <row r="236" spans="1:6" ht="26.25" thickBot="1">
      <c r="A236" s="262" t="s">
        <v>536</v>
      </c>
      <c r="B236" s="263" t="s">
        <v>1543</v>
      </c>
      <c r="C236" s="83" t="s">
        <v>55</v>
      </c>
      <c r="D236" s="108"/>
      <c r="E236" s="108"/>
      <c r="F236" s="109"/>
    </row>
    <row r="237" spans="1:6">
      <c r="A237" s="2041" t="s">
        <v>1544</v>
      </c>
      <c r="B237" s="2042"/>
      <c r="C237" s="2042"/>
      <c r="D237" s="2042"/>
      <c r="E237" s="2042"/>
      <c r="F237" s="2043"/>
    </row>
    <row r="238" spans="1:6" ht="30">
      <c r="A238" s="1499"/>
      <c r="B238" s="1500" t="s">
        <v>48</v>
      </c>
      <c r="C238" s="1501" t="s">
        <v>49</v>
      </c>
      <c r="D238" s="1502" t="s">
        <v>50</v>
      </c>
      <c r="E238" s="1503" t="s">
        <v>51</v>
      </c>
      <c r="F238" s="30" t="s">
        <v>52</v>
      </c>
    </row>
    <row r="239" spans="1:6">
      <c r="A239" s="1301">
        <v>88264</v>
      </c>
      <c r="B239" s="1504" t="s">
        <v>94</v>
      </c>
      <c r="C239" s="1302" t="s">
        <v>57</v>
      </c>
      <c r="D239" s="1448">
        <v>0.34599999999999997</v>
      </c>
      <c r="E239" s="1287">
        <v>25.54</v>
      </c>
      <c r="F239" s="265">
        <f>TRUNC(D239*E239,2)</f>
        <v>8.83</v>
      </c>
    </row>
    <row r="240" spans="1:6" ht="25.5">
      <c r="A240" s="1449">
        <v>88247</v>
      </c>
      <c r="B240" s="1504" t="s">
        <v>93</v>
      </c>
      <c r="C240" s="1302" t="s">
        <v>57</v>
      </c>
      <c r="D240" s="1448">
        <v>0.34599999999999997</v>
      </c>
      <c r="E240" s="1006">
        <v>21</v>
      </c>
      <c r="F240" s="265">
        <f>TRUNC(D240*E240,2)</f>
        <v>7.26</v>
      </c>
    </row>
    <row r="241" spans="1:6">
      <c r="A241" s="1505"/>
      <c r="B241" s="1506"/>
      <c r="C241" s="1507"/>
      <c r="D241" s="1508"/>
      <c r="E241" s="1046" t="s">
        <v>58</v>
      </c>
      <c r="F241" s="266">
        <f>SUM(F239:F240)</f>
        <v>16.09</v>
      </c>
    </row>
    <row r="242" spans="1:6" ht="30">
      <c r="A242" s="1305"/>
      <c r="B242" s="986" t="s">
        <v>95</v>
      </c>
      <c r="C242" s="1439" t="s">
        <v>49</v>
      </c>
      <c r="D242" s="1440" t="s">
        <v>50</v>
      </c>
      <c r="E242" s="1276" t="s">
        <v>62</v>
      </c>
      <c r="F242" s="38" t="s">
        <v>52</v>
      </c>
    </row>
    <row r="243" spans="1:6" ht="25.5">
      <c r="A243" s="1449">
        <v>39773</v>
      </c>
      <c r="B243" s="1256" t="s">
        <v>1546</v>
      </c>
      <c r="C243" s="1302" t="s">
        <v>55</v>
      </c>
      <c r="D243" s="1303">
        <v>1</v>
      </c>
      <c r="E243" s="1006">
        <v>132.85</v>
      </c>
      <c r="F243" s="265">
        <f>TRUNC(D243*E243,2)</f>
        <v>132.85</v>
      </c>
    </row>
    <row r="244" spans="1:6" ht="15.75" thickBot="1">
      <c r="A244" s="1142"/>
      <c r="B244" s="1143"/>
      <c r="C244" s="1144"/>
      <c r="D244" s="1145"/>
      <c r="E244" s="1046" t="s">
        <v>58</v>
      </c>
      <c r="F244" s="1161">
        <f>SUM(F243:F243)</f>
        <v>132.85</v>
      </c>
    </row>
    <row r="245" spans="1:6" ht="15.75" thickBot="1">
      <c r="A245" s="88"/>
      <c r="B245" s="2048" t="s">
        <v>53</v>
      </c>
      <c r="C245" s="2048"/>
      <c r="D245" s="2048"/>
      <c r="E245" s="2048"/>
      <c r="F245" s="268">
        <f>F241+F244</f>
        <v>148.94</v>
      </c>
    </row>
    <row r="246" spans="1:6" ht="15.75" thickBot="1">
      <c r="A246" s="289"/>
      <c r="B246" s="483"/>
      <c r="C246" s="483"/>
      <c r="D246" s="483"/>
      <c r="E246" s="483"/>
      <c r="F246" s="484"/>
    </row>
    <row r="247" spans="1:6" ht="15.75" thickBot="1">
      <c r="A247" s="262" t="s">
        <v>1548</v>
      </c>
      <c r="B247" s="263" t="s">
        <v>2429</v>
      </c>
      <c r="C247" s="83" t="s">
        <v>55</v>
      </c>
      <c r="D247" s="108"/>
      <c r="E247" s="108"/>
      <c r="F247" s="109"/>
    </row>
    <row r="248" spans="1:6">
      <c r="A248" s="2041" t="s">
        <v>514</v>
      </c>
      <c r="B248" s="2042"/>
      <c r="C248" s="2042"/>
      <c r="D248" s="2042"/>
      <c r="E248" s="2042"/>
      <c r="F248" s="2043"/>
    </row>
    <row r="249" spans="1:6" ht="30">
      <c r="A249" s="1499"/>
      <c r="B249" s="1500" t="s">
        <v>48</v>
      </c>
      <c r="C249" s="1501" t="s">
        <v>49</v>
      </c>
      <c r="D249" s="1502" t="s">
        <v>50</v>
      </c>
      <c r="E249" s="1503" t="s">
        <v>51</v>
      </c>
      <c r="F249" s="30" t="s">
        <v>52</v>
      </c>
    </row>
    <row r="250" spans="1:6">
      <c r="A250" s="1301">
        <v>88264</v>
      </c>
      <c r="B250" s="1504" t="s">
        <v>94</v>
      </c>
      <c r="C250" s="1302" t="s">
        <v>57</v>
      </c>
      <c r="D250" s="1512">
        <v>0.2</v>
      </c>
      <c r="E250" s="1287">
        <v>25.54</v>
      </c>
      <c r="F250" s="32">
        <f>TRUNC(D250*E250,2)</f>
        <v>5.0999999999999996</v>
      </c>
    </row>
    <row r="251" spans="1:6" ht="25.5">
      <c r="A251" s="1449">
        <v>88247</v>
      </c>
      <c r="B251" s="1504" t="s">
        <v>93</v>
      </c>
      <c r="C251" s="1302" t="s">
        <v>57</v>
      </c>
      <c r="D251" s="1512">
        <v>0.2</v>
      </c>
      <c r="E251" s="1006">
        <v>21</v>
      </c>
      <c r="F251" s="32">
        <f>TRUNC(D251*E251,2)</f>
        <v>4.2</v>
      </c>
    </row>
    <row r="252" spans="1:6">
      <c r="A252" s="1505"/>
      <c r="B252" s="1506"/>
      <c r="C252" s="1507"/>
      <c r="D252" s="1508"/>
      <c r="E252" s="1046" t="s">
        <v>58</v>
      </c>
      <c r="F252" s="33">
        <f>SUM(F250:F251)</f>
        <v>9.3000000000000007</v>
      </c>
    </row>
    <row r="253" spans="1:6" ht="30">
      <c r="A253" s="1515"/>
      <c r="B253" s="986" t="s">
        <v>95</v>
      </c>
      <c r="C253" s="1439" t="s">
        <v>49</v>
      </c>
      <c r="D253" s="1440" t="s">
        <v>50</v>
      </c>
      <c r="E253" s="1276" t="s">
        <v>62</v>
      </c>
      <c r="F253" s="38" t="s">
        <v>52</v>
      </c>
    </row>
    <row r="254" spans="1:6">
      <c r="A254" s="1449" t="s">
        <v>65</v>
      </c>
      <c r="B254" s="1256" t="s">
        <v>2429</v>
      </c>
      <c r="C254" s="1302" t="s">
        <v>55</v>
      </c>
      <c r="D254" s="1513">
        <v>1</v>
      </c>
      <c r="E254" s="1146">
        <f>C262</f>
        <v>1.41</v>
      </c>
      <c r="F254" s="32">
        <f>TRUNC(D254*E254,2)</f>
        <v>1.41</v>
      </c>
    </row>
    <row r="255" spans="1:6" ht="15.75" thickBot="1">
      <c r="A255" s="1142"/>
      <c r="B255" s="1143"/>
      <c r="C255" s="1144"/>
      <c r="D255" s="1145"/>
      <c r="E255" s="1046" t="s">
        <v>58</v>
      </c>
      <c r="F255" s="989">
        <f>SUM(F254:F254)</f>
        <v>1.41</v>
      </c>
    </row>
    <row r="256" spans="1:6" ht="15.75" thickBot="1">
      <c r="A256" s="88"/>
      <c r="B256" s="2035" t="s">
        <v>53</v>
      </c>
      <c r="C256" s="2036"/>
      <c r="D256" s="2036"/>
      <c r="E256" s="2037"/>
      <c r="F256" s="91">
        <f>F252+F255</f>
        <v>10.71</v>
      </c>
    </row>
    <row r="257" spans="1:6">
      <c r="A257" s="89"/>
      <c r="B257" s="2038" t="s">
        <v>96</v>
      </c>
      <c r="C257" s="2039"/>
      <c r="D257" s="2039"/>
      <c r="E257" s="2040"/>
      <c r="F257" s="90"/>
    </row>
    <row r="258" spans="1:6" ht="25.5">
      <c r="A258" s="1275" t="s">
        <v>59</v>
      </c>
      <c r="B258" s="1276" t="s">
        <v>97</v>
      </c>
      <c r="C258" s="1277" t="s">
        <v>98</v>
      </c>
      <c r="D258" s="2028" t="s">
        <v>60</v>
      </c>
      <c r="E258" s="2029"/>
      <c r="F258" s="76" t="s">
        <v>99</v>
      </c>
    </row>
    <row r="259" spans="1:6" ht="24">
      <c r="A259" s="1255">
        <v>44868</v>
      </c>
      <c r="B259" s="1256" t="s">
        <v>2332</v>
      </c>
      <c r="C259" s="1257">
        <v>1.29</v>
      </c>
      <c r="D259" s="1962" t="s">
        <v>2333</v>
      </c>
      <c r="E259" s="1963"/>
      <c r="F259" s="1291" t="s">
        <v>2334</v>
      </c>
    </row>
    <row r="260" spans="1:6">
      <c r="A260" s="1255">
        <v>44869</v>
      </c>
      <c r="B260" s="1256" t="s">
        <v>2312</v>
      </c>
      <c r="C260" s="1257">
        <v>6.6</v>
      </c>
      <c r="D260" s="1962" t="s">
        <v>2313</v>
      </c>
      <c r="E260" s="1963"/>
      <c r="F260" s="1291" t="s">
        <v>2314</v>
      </c>
    </row>
    <row r="261" spans="1:6">
      <c r="A261" s="1255">
        <v>44872</v>
      </c>
      <c r="B261" s="1256" t="s">
        <v>2335</v>
      </c>
      <c r="C261" s="1257">
        <v>1.41</v>
      </c>
      <c r="D261" s="1962" t="s">
        <v>2144</v>
      </c>
      <c r="E261" s="1963"/>
      <c r="F261" s="1291" t="s">
        <v>2145</v>
      </c>
    </row>
    <row r="262" spans="1:6" ht="15.75" thickBot="1">
      <c r="A262" s="63"/>
      <c r="B262" s="1511" t="s">
        <v>61</v>
      </c>
      <c r="C262" s="1514">
        <f>MEDIAN(C259:C261)</f>
        <v>1.41</v>
      </c>
      <c r="D262" s="2030"/>
      <c r="E262" s="2031"/>
      <c r="F262" s="65"/>
    </row>
    <row r="263" spans="1:6" ht="15.75" thickBot="1">
      <c r="A263" s="289"/>
      <c r="B263" s="483"/>
      <c r="C263" s="483"/>
      <c r="D263" s="483"/>
      <c r="E263" s="483"/>
      <c r="F263" s="484"/>
    </row>
    <row r="264" spans="1:6" ht="15.75" customHeight="1" thickBot="1">
      <c r="A264" s="262" t="s">
        <v>1547</v>
      </c>
      <c r="B264" s="263" t="s">
        <v>1576</v>
      </c>
      <c r="C264" s="83" t="s">
        <v>55</v>
      </c>
      <c r="D264" s="108"/>
      <c r="E264" s="108"/>
      <c r="F264" s="109"/>
    </row>
    <row r="265" spans="1:6">
      <c r="A265" s="2041" t="s">
        <v>1577</v>
      </c>
      <c r="B265" s="2042"/>
      <c r="C265" s="2042"/>
      <c r="D265" s="2042"/>
      <c r="E265" s="2042"/>
      <c r="F265" s="2043"/>
    </row>
    <row r="266" spans="1:6" ht="30">
      <c r="A266" s="1499"/>
      <c r="B266" s="1500" t="s">
        <v>48</v>
      </c>
      <c r="C266" s="1501" t="s">
        <v>49</v>
      </c>
      <c r="D266" s="1502" t="s">
        <v>50</v>
      </c>
      <c r="E266" s="1503" t="s">
        <v>51</v>
      </c>
      <c r="F266" s="30" t="s">
        <v>52</v>
      </c>
    </row>
    <row r="267" spans="1:6">
      <c r="A267" s="1546">
        <v>88264</v>
      </c>
      <c r="B267" s="1504" t="s">
        <v>94</v>
      </c>
      <c r="C267" s="1302" t="s">
        <v>57</v>
      </c>
      <c r="D267" s="1448">
        <v>0.3</v>
      </c>
      <c r="E267" s="1287">
        <v>25.54</v>
      </c>
      <c r="F267" s="265">
        <f>TRUNC(D267*E267,2)</f>
        <v>7.66</v>
      </c>
    </row>
    <row r="268" spans="1:6" ht="25.5">
      <c r="A268" s="1547">
        <v>88247</v>
      </c>
      <c r="B268" s="1504" t="s">
        <v>93</v>
      </c>
      <c r="C268" s="1302" t="s">
        <v>57</v>
      </c>
      <c r="D268" s="1448">
        <v>0.3</v>
      </c>
      <c r="E268" s="1006">
        <v>21</v>
      </c>
      <c r="F268" s="265">
        <f>TRUNC(D268*E268,2)</f>
        <v>6.3</v>
      </c>
    </row>
    <row r="269" spans="1:6">
      <c r="A269" s="1505"/>
      <c r="B269" s="1506"/>
      <c r="C269" s="1507"/>
      <c r="D269" s="1508"/>
      <c r="E269" s="1046" t="s">
        <v>58</v>
      </c>
      <c r="F269" s="266">
        <f>SUM(F267:F268)</f>
        <v>13.96</v>
      </c>
    </row>
    <row r="270" spans="1:6" ht="30">
      <c r="A270" s="1515"/>
      <c r="B270" s="986" t="s">
        <v>95</v>
      </c>
      <c r="C270" s="1439" t="s">
        <v>49</v>
      </c>
      <c r="D270" s="1440" t="s">
        <v>50</v>
      </c>
      <c r="E270" s="1276" t="s">
        <v>62</v>
      </c>
      <c r="F270" s="38" t="s">
        <v>52</v>
      </c>
    </row>
    <row r="271" spans="1:6" ht="38.25">
      <c r="A271" s="1449" t="s">
        <v>65</v>
      </c>
      <c r="B271" s="1548" t="s">
        <v>1575</v>
      </c>
      <c r="C271" s="1302" t="s">
        <v>55</v>
      </c>
      <c r="D271" s="1303">
        <v>1</v>
      </c>
      <c r="E271" s="1006">
        <f>C279</f>
        <v>460</v>
      </c>
      <c r="F271" s="265">
        <f>TRUNC(D271*E271,2)</f>
        <v>460</v>
      </c>
    </row>
    <row r="272" spans="1:6" ht="15.75" thickBot="1">
      <c r="A272" s="1142"/>
      <c r="B272" s="1143"/>
      <c r="C272" s="1144"/>
      <c r="D272" s="1145"/>
      <c r="E272" s="1046" t="s">
        <v>58</v>
      </c>
      <c r="F272" s="1161">
        <f>SUM(F271:F271)</f>
        <v>460</v>
      </c>
    </row>
    <row r="273" spans="1:6" ht="15.75" thickBot="1">
      <c r="A273" s="88"/>
      <c r="B273" s="2048" t="s">
        <v>53</v>
      </c>
      <c r="C273" s="2048"/>
      <c r="D273" s="2048"/>
      <c r="E273" s="2048"/>
      <c r="F273" s="268">
        <f>F269+F272</f>
        <v>473.96</v>
      </c>
    </row>
    <row r="274" spans="1:6">
      <c r="A274" s="89"/>
      <c r="B274" s="1983" t="s">
        <v>96</v>
      </c>
      <c r="C274" s="1984"/>
      <c r="D274" s="1984"/>
      <c r="E274" s="1985"/>
      <c r="F274" s="90"/>
    </row>
    <row r="275" spans="1:6" ht="25.5">
      <c r="A275" s="1275" t="s">
        <v>59</v>
      </c>
      <c r="B275" s="1276" t="s">
        <v>97</v>
      </c>
      <c r="C275" s="1277" t="s">
        <v>98</v>
      </c>
      <c r="D275" s="1975" t="s">
        <v>60</v>
      </c>
      <c r="E275" s="1975"/>
      <c r="F275" s="76" t="s">
        <v>99</v>
      </c>
    </row>
    <row r="276" spans="1:6">
      <c r="A276" s="1255">
        <v>44859</v>
      </c>
      <c r="B276" s="1256" t="s">
        <v>2336</v>
      </c>
      <c r="C276" s="1257">
        <v>460</v>
      </c>
      <c r="D276" s="1962" t="s">
        <v>2337</v>
      </c>
      <c r="E276" s="1963"/>
      <c r="F276" s="966" t="s">
        <v>2338</v>
      </c>
    </row>
    <row r="277" spans="1:6">
      <c r="A277" s="1255">
        <v>44861</v>
      </c>
      <c r="B277" s="1256" t="s">
        <v>2285</v>
      </c>
      <c r="C277" s="1257">
        <v>514.17999999999995</v>
      </c>
      <c r="D277" s="1962" t="s">
        <v>2175</v>
      </c>
      <c r="E277" s="1963"/>
      <c r="F277" s="1291" t="s">
        <v>2339</v>
      </c>
    </row>
    <row r="278" spans="1:6">
      <c r="A278" s="1255">
        <v>44861</v>
      </c>
      <c r="B278" s="1256" t="s">
        <v>2340</v>
      </c>
      <c r="C278" s="1257">
        <v>440.43</v>
      </c>
      <c r="D278" s="1962" t="s">
        <v>2341</v>
      </c>
      <c r="E278" s="1963"/>
      <c r="F278" s="1291" t="s">
        <v>2342</v>
      </c>
    </row>
    <row r="279" spans="1:6" ht="15.75" thickBot="1">
      <c r="A279" s="63"/>
      <c r="B279" s="1511" t="s">
        <v>61</v>
      </c>
      <c r="C279" s="1514">
        <f>MEDIAN(C276:C278)</f>
        <v>460</v>
      </c>
      <c r="D279" s="2030"/>
      <c r="E279" s="2031"/>
      <c r="F279" s="65"/>
    </row>
    <row r="280" spans="1:6" ht="15.75" thickBot="1">
      <c r="A280" s="289"/>
      <c r="B280" s="483"/>
      <c r="C280" s="483"/>
      <c r="D280" s="483"/>
      <c r="E280" s="483"/>
      <c r="F280" s="484"/>
    </row>
    <row r="281" spans="1:6" ht="17.25" customHeight="1" thickBot="1">
      <c r="A281" s="262" t="s">
        <v>1578</v>
      </c>
      <c r="B281" s="263" t="s">
        <v>1580</v>
      </c>
      <c r="C281" s="83" t="s">
        <v>55</v>
      </c>
      <c r="D281" s="108"/>
      <c r="E281" s="108"/>
      <c r="F281" s="109"/>
    </row>
    <row r="282" spans="1:6">
      <c r="A282" s="2041" t="s">
        <v>1581</v>
      </c>
      <c r="B282" s="2042"/>
      <c r="C282" s="2042"/>
      <c r="D282" s="2042"/>
      <c r="E282" s="2042"/>
      <c r="F282" s="2043"/>
    </row>
    <row r="283" spans="1:6" ht="30">
      <c r="A283" s="1499"/>
      <c r="B283" s="1500" t="s">
        <v>48</v>
      </c>
      <c r="C283" s="1501" t="s">
        <v>49</v>
      </c>
      <c r="D283" s="1502" t="s">
        <v>50</v>
      </c>
      <c r="E283" s="1503" t="s">
        <v>51</v>
      </c>
      <c r="F283" s="30" t="s">
        <v>52</v>
      </c>
    </row>
    <row r="284" spans="1:6">
      <c r="A284" s="1546">
        <v>88264</v>
      </c>
      <c r="B284" s="1504" t="s">
        <v>94</v>
      </c>
      <c r="C284" s="1302" t="s">
        <v>57</v>
      </c>
      <c r="D284" s="1448">
        <v>0.25</v>
      </c>
      <c r="E284" s="1287">
        <v>25.54</v>
      </c>
      <c r="F284" s="265">
        <f>TRUNC(D284*E284,2)</f>
        <v>6.38</v>
      </c>
    </row>
    <row r="285" spans="1:6" ht="25.5">
      <c r="A285" s="1547">
        <v>88247</v>
      </c>
      <c r="B285" s="1504" t="s">
        <v>93</v>
      </c>
      <c r="C285" s="1302" t="s">
        <v>57</v>
      </c>
      <c r="D285" s="1448">
        <v>0.25</v>
      </c>
      <c r="E285" s="1006">
        <v>21</v>
      </c>
      <c r="F285" s="265">
        <f>TRUNC(D285*E285,2)</f>
        <v>5.25</v>
      </c>
    </row>
    <row r="286" spans="1:6">
      <c r="A286" s="1505"/>
      <c r="B286" s="1506"/>
      <c r="C286" s="1507"/>
      <c r="D286" s="1508"/>
      <c r="E286" s="1046" t="s">
        <v>58</v>
      </c>
      <c r="F286" s="266">
        <f>SUM(F284:F285)</f>
        <v>11.629999999999999</v>
      </c>
    </row>
    <row r="287" spans="1:6" ht="30">
      <c r="A287" s="1515"/>
      <c r="B287" s="986" t="s">
        <v>95</v>
      </c>
      <c r="C287" s="1439" t="s">
        <v>49</v>
      </c>
      <c r="D287" s="1440" t="s">
        <v>50</v>
      </c>
      <c r="E287" s="1276" t="s">
        <v>62</v>
      </c>
      <c r="F287" s="38" t="s">
        <v>52</v>
      </c>
    </row>
    <row r="288" spans="1:6">
      <c r="A288" s="1449" t="s">
        <v>65</v>
      </c>
      <c r="B288" s="1548" t="s">
        <v>1579</v>
      </c>
      <c r="C288" s="1302" t="s">
        <v>55</v>
      </c>
      <c r="D288" s="1303">
        <v>1</v>
      </c>
      <c r="E288" s="1006">
        <f>C296</f>
        <v>21.52</v>
      </c>
      <c r="F288" s="265">
        <f>TRUNC(D288*E288,2)</f>
        <v>21.52</v>
      </c>
    </row>
    <row r="289" spans="1:6" ht="15.75" thickBot="1">
      <c r="A289" s="1142"/>
      <c r="B289" s="1143"/>
      <c r="C289" s="1144"/>
      <c r="D289" s="1145"/>
      <c r="E289" s="1046" t="s">
        <v>58</v>
      </c>
      <c r="F289" s="1161">
        <f>SUM(F288:F288)</f>
        <v>21.52</v>
      </c>
    </row>
    <row r="290" spans="1:6" ht="15.75" thickBot="1">
      <c r="A290" s="88"/>
      <c r="B290" s="2048" t="s">
        <v>53</v>
      </c>
      <c r="C290" s="2048"/>
      <c r="D290" s="2048"/>
      <c r="E290" s="2048"/>
      <c r="F290" s="268">
        <f>F286+F289</f>
        <v>33.15</v>
      </c>
    </row>
    <row r="291" spans="1:6">
      <c r="A291" s="89"/>
      <c r="B291" s="1983" t="s">
        <v>96</v>
      </c>
      <c r="C291" s="1984"/>
      <c r="D291" s="1984"/>
      <c r="E291" s="1985"/>
      <c r="F291" s="90"/>
    </row>
    <row r="292" spans="1:6" ht="25.5">
      <c r="A292" s="1275" t="s">
        <v>59</v>
      </c>
      <c r="B292" s="1276" t="s">
        <v>97</v>
      </c>
      <c r="C292" s="1277" t="s">
        <v>98</v>
      </c>
      <c r="D292" s="1975" t="s">
        <v>60</v>
      </c>
      <c r="E292" s="1975"/>
      <c r="F292" s="76" t="s">
        <v>99</v>
      </c>
    </row>
    <row r="293" spans="1:6">
      <c r="A293" s="1255">
        <v>44861</v>
      </c>
      <c r="B293" s="1256" t="s">
        <v>2343</v>
      </c>
      <c r="C293" s="1257">
        <v>21.52</v>
      </c>
      <c r="D293" s="1962" t="s">
        <v>2344</v>
      </c>
      <c r="E293" s="1963"/>
      <c r="F293" s="62" t="s">
        <v>2342</v>
      </c>
    </row>
    <row r="294" spans="1:6">
      <c r="A294" s="1255">
        <v>44856</v>
      </c>
      <c r="B294" s="1256" t="s">
        <v>2345</v>
      </c>
      <c r="C294" s="1257">
        <v>32.24</v>
      </c>
      <c r="D294" s="1962" t="s">
        <v>2346</v>
      </c>
      <c r="E294" s="1963"/>
      <c r="F294" s="1291" t="s">
        <v>2347</v>
      </c>
    </row>
    <row r="295" spans="1:6">
      <c r="A295" s="1255">
        <v>44881</v>
      </c>
      <c r="B295" s="1256" t="s">
        <v>2171</v>
      </c>
      <c r="C295" s="1257">
        <v>19.3</v>
      </c>
      <c r="D295" s="1962" t="s">
        <v>2198</v>
      </c>
      <c r="E295" s="1963"/>
      <c r="F295" s="62" t="s">
        <v>2199</v>
      </c>
    </row>
    <row r="296" spans="1:6" ht="15.75" thickBot="1">
      <c r="A296" s="63"/>
      <c r="B296" s="1511" t="s">
        <v>61</v>
      </c>
      <c r="C296" s="1514">
        <f>MEDIAN(C293:C295)</f>
        <v>21.52</v>
      </c>
      <c r="D296" s="2030"/>
      <c r="E296" s="2031"/>
      <c r="F296" s="65"/>
    </row>
    <row r="297" spans="1:6" ht="15.75" thickBot="1">
      <c r="A297" s="289"/>
      <c r="B297" s="483"/>
      <c r="C297" s="483"/>
      <c r="D297" s="483"/>
      <c r="E297" s="483"/>
      <c r="F297" s="484"/>
    </row>
    <row r="298" spans="1:6" ht="26.25" thickBot="1">
      <c r="A298" s="262" t="s">
        <v>1583</v>
      </c>
      <c r="B298" s="269" t="s">
        <v>516</v>
      </c>
      <c r="C298" s="83" t="s">
        <v>55</v>
      </c>
      <c r="D298" s="108"/>
      <c r="E298" s="108"/>
      <c r="F298" s="109"/>
    </row>
    <row r="299" spans="1:6">
      <c r="A299" s="2041" t="s">
        <v>517</v>
      </c>
      <c r="B299" s="2042"/>
      <c r="C299" s="2042"/>
      <c r="D299" s="2042"/>
      <c r="E299" s="2042"/>
      <c r="F299" s="2043"/>
    </row>
    <row r="300" spans="1:6" ht="30">
      <c r="A300" s="1499"/>
      <c r="B300" s="1549" t="s">
        <v>48</v>
      </c>
      <c r="C300" s="1501" t="s">
        <v>49</v>
      </c>
      <c r="D300" s="1502" t="s">
        <v>50</v>
      </c>
      <c r="E300" s="1503" t="s">
        <v>51</v>
      </c>
      <c r="F300" s="30" t="s">
        <v>52</v>
      </c>
    </row>
    <row r="301" spans="1:6">
      <c r="A301" s="1301">
        <v>88264</v>
      </c>
      <c r="B301" s="1504" t="s">
        <v>94</v>
      </c>
      <c r="C301" s="1550" t="s">
        <v>57</v>
      </c>
      <c r="D301" s="1448">
        <v>4</v>
      </c>
      <c r="E301" s="1287">
        <v>25.54</v>
      </c>
      <c r="F301" s="265">
        <f>TRUNC(D301*E301,2)</f>
        <v>102.16</v>
      </c>
    </row>
    <row r="302" spans="1:6" ht="25.5">
      <c r="A302" s="1449">
        <v>88247</v>
      </c>
      <c r="B302" s="1504" t="s">
        <v>93</v>
      </c>
      <c r="C302" s="1550" t="s">
        <v>57</v>
      </c>
      <c r="D302" s="1448">
        <v>4</v>
      </c>
      <c r="E302" s="1006">
        <v>21</v>
      </c>
      <c r="F302" s="265">
        <f>TRUNC(D302*E302,2)</f>
        <v>84</v>
      </c>
    </row>
    <row r="303" spans="1:6">
      <c r="A303" s="1505"/>
      <c r="B303" s="1506"/>
      <c r="C303" s="1507"/>
      <c r="D303" s="1508"/>
      <c r="E303" s="1046" t="s">
        <v>58</v>
      </c>
      <c r="F303" s="266">
        <f>SUM(F301:F302)</f>
        <v>186.16</v>
      </c>
    </row>
    <row r="304" spans="1:6" ht="30">
      <c r="A304" s="1515"/>
      <c r="B304" s="986" t="s">
        <v>95</v>
      </c>
      <c r="C304" s="1439" t="s">
        <v>49</v>
      </c>
      <c r="D304" s="1440" t="s">
        <v>50</v>
      </c>
      <c r="E304" s="1276" t="s">
        <v>62</v>
      </c>
      <c r="F304" s="38" t="s">
        <v>52</v>
      </c>
    </row>
    <row r="305" spans="1:6" ht="51">
      <c r="A305" s="1551">
        <v>43093</v>
      </c>
      <c r="B305" s="1552" t="s">
        <v>1584</v>
      </c>
      <c r="C305" s="1553" t="s">
        <v>55</v>
      </c>
      <c r="D305" s="1303">
        <v>1</v>
      </c>
      <c r="E305" s="1006">
        <v>284.08</v>
      </c>
      <c r="F305" s="265">
        <f>TRUNC(D305*E305,2)</f>
        <v>284.08</v>
      </c>
    </row>
    <row r="306" spans="1:6" ht="38.25">
      <c r="A306" s="938">
        <v>3380</v>
      </c>
      <c r="B306" s="1256" t="s">
        <v>2200</v>
      </c>
      <c r="C306" s="1302" t="s">
        <v>55</v>
      </c>
      <c r="D306" s="1303">
        <v>1</v>
      </c>
      <c r="E306" s="1006">
        <v>66.900000000000006</v>
      </c>
      <c r="F306" s="265">
        <f>TRUNC(D306*E306,2)</f>
        <v>66.900000000000006</v>
      </c>
    </row>
    <row r="307" spans="1:6" ht="15.75" thickBot="1">
      <c r="A307" s="1142"/>
      <c r="B307" s="1143"/>
      <c r="C307" s="1144"/>
      <c r="D307" s="1145"/>
      <c r="E307" s="1046" t="s">
        <v>58</v>
      </c>
      <c r="F307" s="1161">
        <f>SUM(F305:F306)</f>
        <v>350.98</v>
      </c>
    </row>
    <row r="308" spans="1:6" ht="15.75" thickBot="1">
      <c r="A308" s="88"/>
      <c r="B308" s="2035" t="s">
        <v>53</v>
      </c>
      <c r="C308" s="2036"/>
      <c r="D308" s="2036"/>
      <c r="E308" s="2037"/>
      <c r="F308" s="268">
        <f>F303+F307</f>
        <v>537.14</v>
      </c>
    </row>
    <row r="309" spans="1:6" ht="15.75" thickBot="1"/>
    <row r="310" spans="1:6" ht="15.75" thickBot="1">
      <c r="A310" s="262" t="s">
        <v>1585</v>
      </c>
      <c r="B310" s="263" t="s">
        <v>522</v>
      </c>
      <c r="C310" s="83" t="s">
        <v>55</v>
      </c>
      <c r="D310" s="108"/>
      <c r="E310" s="108"/>
      <c r="F310" s="109"/>
    </row>
    <row r="311" spans="1:6">
      <c r="A311" s="2041" t="s">
        <v>523</v>
      </c>
      <c r="B311" s="2042"/>
      <c r="C311" s="2042"/>
      <c r="D311" s="2042"/>
      <c r="E311" s="2042"/>
      <c r="F311" s="2043"/>
    </row>
    <row r="312" spans="1:6" ht="30">
      <c r="A312" s="1499"/>
      <c r="B312" s="1500" t="s">
        <v>48</v>
      </c>
      <c r="C312" s="1501" t="s">
        <v>49</v>
      </c>
      <c r="D312" s="1502" t="s">
        <v>50</v>
      </c>
      <c r="E312" s="1503" t="s">
        <v>51</v>
      </c>
      <c r="F312" s="30" t="s">
        <v>52</v>
      </c>
    </row>
    <row r="313" spans="1:6">
      <c r="A313" s="1301">
        <v>88264</v>
      </c>
      <c r="B313" s="1504" t="s">
        <v>94</v>
      </c>
      <c r="C313" s="1302" t="s">
        <v>57</v>
      </c>
      <c r="D313" s="1512">
        <v>0.6</v>
      </c>
      <c r="E313" s="1287">
        <v>25.54</v>
      </c>
      <c r="F313" s="32">
        <f>TRUNC(D313*E313,2)</f>
        <v>15.32</v>
      </c>
    </row>
    <row r="314" spans="1:6" ht="25.5">
      <c r="A314" s="1449">
        <v>88247</v>
      </c>
      <c r="B314" s="1504" t="s">
        <v>93</v>
      </c>
      <c r="C314" s="1302" t="s">
        <v>57</v>
      </c>
      <c r="D314" s="1512">
        <v>0.6</v>
      </c>
      <c r="E314" s="1006">
        <v>21</v>
      </c>
      <c r="F314" s="32">
        <f>TRUNC(D314*E314,2)</f>
        <v>12.6</v>
      </c>
    </row>
    <row r="315" spans="1:6">
      <c r="A315" s="1505"/>
      <c r="B315" s="1506"/>
      <c r="C315" s="1507"/>
      <c r="D315" s="1508"/>
      <c r="E315" s="1046" t="s">
        <v>58</v>
      </c>
      <c r="F315" s="33">
        <f>SUM(F313:F314)</f>
        <v>27.92</v>
      </c>
    </row>
    <row r="316" spans="1:6" ht="30">
      <c r="A316" s="1515"/>
      <c r="B316" s="986" t="s">
        <v>95</v>
      </c>
      <c r="C316" s="1439" t="s">
        <v>49</v>
      </c>
      <c r="D316" s="1440" t="s">
        <v>50</v>
      </c>
      <c r="E316" s="1276" t="s">
        <v>62</v>
      </c>
      <c r="F316" s="38" t="s">
        <v>52</v>
      </c>
    </row>
    <row r="317" spans="1:6">
      <c r="A317" s="1449" t="s">
        <v>65</v>
      </c>
      <c r="B317" s="1509" t="s">
        <v>522</v>
      </c>
      <c r="C317" s="1302" t="s">
        <v>55</v>
      </c>
      <c r="D317" s="1513">
        <v>1</v>
      </c>
      <c r="E317" s="1146">
        <f>C325</f>
        <v>321.14999999999998</v>
      </c>
      <c r="F317" s="32">
        <f>TRUNC(D317*E317,2)</f>
        <v>321.14999999999998</v>
      </c>
    </row>
    <row r="318" spans="1:6" ht="15.75" thickBot="1">
      <c r="A318" s="1142"/>
      <c r="B318" s="1143"/>
      <c r="C318" s="1144"/>
      <c r="D318" s="1145"/>
      <c r="E318" s="1046" t="s">
        <v>58</v>
      </c>
      <c r="F318" s="989">
        <f>SUM(F317:F317)</f>
        <v>321.14999999999998</v>
      </c>
    </row>
    <row r="319" spans="1:6" ht="15.75" thickBot="1">
      <c r="A319" s="88"/>
      <c r="B319" s="2035" t="s">
        <v>53</v>
      </c>
      <c r="C319" s="2036"/>
      <c r="D319" s="2036"/>
      <c r="E319" s="2037"/>
      <c r="F319" s="91">
        <f>F315+F318</f>
        <v>349.07</v>
      </c>
    </row>
    <row r="320" spans="1:6">
      <c r="A320" s="89"/>
      <c r="B320" s="2038" t="s">
        <v>96</v>
      </c>
      <c r="C320" s="2039"/>
      <c r="D320" s="2039"/>
      <c r="E320" s="2040"/>
      <c r="F320" s="90"/>
    </row>
    <row r="321" spans="1:6" ht="25.5">
      <c r="A321" s="1275" t="s">
        <v>59</v>
      </c>
      <c r="B321" s="1276" t="s">
        <v>97</v>
      </c>
      <c r="C321" s="1277" t="s">
        <v>98</v>
      </c>
      <c r="D321" s="2028" t="s">
        <v>60</v>
      </c>
      <c r="E321" s="2029"/>
      <c r="F321" s="76" t="s">
        <v>99</v>
      </c>
    </row>
    <row r="322" spans="1:6">
      <c r="A322" s="1255">
        <v>44869</v>
      </c>
      <c r="B322" s="1256" t="s">
        <v>2327</v>
      </c>
      <c r="C322" s="1257">
        <v>298.05</v>
      </c>
      <c r="D322" s="1962" t="s">
        <v>2348</v>
      </c>
      <c r="E322" s="1963"/>
      <c r="F322" s="1291" t="s">
        <v>2349</v>
      </c>
    </row>
    <row r="323" spans="1:6">
      <c r="A323" s="1255">
        <v>44873</v>
      </c>
      <c r="B323" s="1256" t="s">
        <v>2350</v>
      </c>
      <c r="C323" s="1257">
        <v>321.14999999999998</v>
      </c>
      <c r="D323" s="1962" t="s">
        <v>2351</v>
      </c>
      <c r="E323" s="1963"/>
      <c r="F323" s="1291" t="s">
        <v>2199</v>
      </c>
    </row>
    <row r="324" spans="1:6">
      <c r="A324" s="1255">
        <v>44873</v>
      </c>
      <c r="B324" s="1256" t="s">
        <v>2352</v>
      </c>
      <c r="C324" s="1257">
        <v>367.77</v>
      </c>
      <c r="D324" s="1962" t="s">
        <v>2353</v>
      </c>
      <c r="E324" s="1963"/>
      <c r="F324" s="1291" t="s">
        <v>2354</v>
      </c>
    </row>
    <row r="325" spans="1:6" ht="15.75" thickBot="1">
      <c r="A325" s="63"/>
      <c r="B325" s="1511" t="s">
        <v>61</v>
      </c>
      <c r="C325" s="1514">
        <f>MEDIAN(C322:C324)</f>
        <v>321.14999999999998</v>
      </c>
      <c r="D325" s="2030"/>
      <c r="E325" s="2031"/>
      <c r="F325" s="65"/>
    </row>
    <row r="326" spans="1:6" ht="15.75" thickBot="1"/>
    <row r="327" spans="1:6" ht="15.75" thickBot="1">
      <c r="A327" s="262" t="s">
        <v>1586</v>
      </c>
      <c r="B327" s="263" t="s">
        <v>519</v>
      </c>
      <c r="C327" s="83" t="s">
        <v>55</v>
      </c>
      <c r="D327" s="108"/>
      <c r="E327" s="108"/>
      <c r="F327" s="109"/>
    </row>
    <row r="328" spans="1:6">
      <c r="A328" s="2032" t="s">
        <v>520</v>
      </c>
      <c r="B328" s="2033"/>
      <c r="C328" s="2033"/>
      <c r="D328" s="2033"/>
      <c r="E328" s="2033"/>
      <c r="F328" s="2034"/>
    </row>
    <row r="329" spans="1:6" ht="30">
      <c r="A329" s="1499"/>
      <c r="B329" s="1500" t="s">
        <v>48</v>
      </c>
      <c r="C329" s="1501" t="s">
        <v>49</v>
      </c>
      <c r="D329" s="1502" t="s">
        <v>50</v>
      </c>
      <c r="E329" s="1503" t="s">
        <v>51</v>
      </c>
      <c r="F329" s="30" t="s">
        <v>52</v>
      </c>
    </row>
    <row r="330" spans="1:6">
      <c r="A330" s="1301">
        <v>88264</v>
      </c>
      <c r="B330" s="1504" t="s">
        <v>94</v>
      </c>
      <c r="C330" s="1302" t="s">
        <v>57</v>
      </c>
      <c r="D330" s="1448">
        <v>0.05</v>
      </c>
      <c r="E330" s="1287">
        <v>25.54</v>
      </c>
      <c r="F330" s="265">
        <f>TRUNC(D330*E330,2)</f>
        <v>1.27</v>
      </c>
    </row>
    <row r="331" spans="1:6" ht="25.5">
      <c r="A331" s="1449">
        <v>88247</v>
      </c>
      <c r="B331" s="1504" t="s">
        <v>93</v>
      </c>
      <c r="C331" s="1302" t="s">
        <v>57</v>
      </c>
      <c r="D331" s="1448">
        <v>0.05</v>
      </c>
      <c r="E331" s="1006">
        <v>21</v>
      </c>
      <c r="F331" s="265">
        <f>TRUNC(D331*E331,2)</f>
        <v>1.05</v>
      </c>
    </row>
    <row r="332" spans="1:6">
      <c r="A332" s="1505"/>
      <c r="B332" s="1506"/>
      <c r="C332" s="1507"/>
      <c r="D332" s="1508"/>
      <c r="E332" s="1046" t="s">
        <v>58</v>
      </c>
      <c r="F332" s="266">
        <f>SUM(F330:F331)</f>
        <v>2.3200000000000003</v>
      </c>
    </row>
    <row r="333" spans="1:6" ht="30">
      <c r="A333" s="1515"/>
      <c r="B333" s="986" t="s">
        <v>95</v>
      </c>
      <c r="C333" s="1439" t="s">
        <v>49</v>
      </c>
      <c r="D333" s="1440" t="s">
        <v>50</v>
      </c>
      <c r="E333" s="1276" t="s">
        <v>62</v>
      </c>
      <c r="F333" s="38" t="s">
        <v>52</v>
      </c>
    </row>
    <row r="334" spans="1:6">
      <c r="A334" s="1449" t="s">
        <v>65</v>
      </c>
      <c r="B334" s="1256" t="s">
        <v>519</v>
      </c>
      <c r="C334" s="1302" t="s">
        <v>55</v>
      </c>
      <c r="D334" s="1303">
        <v>1</v>
      </c>
      <c r="E334" s="1006">
        <f>C342</f>
        <v>8.3000000000000007</v>
      </c>
      <c r="F334" s="265">
        <f>TRUNC(D334*E334,2)</f>
        <v>8.3000000000000007</v>
      </c>
    </row>
    <row r="335" spans="1:6" ht="15.75" thickBot="1">
      <c r="A335" s="1142"/>
      <c r="B335" s="1143"/>
      <c r="C335" s="1144"/>
      <c r="D335" s="1145"/>
      <c r="E335" s="1046" t="s">
        <v>58</v>
      </c>
      <c r="F335" s="1161">
        <f>SUM(F334:F334)</f>
        <v>8.3000000000000007</v>
      </c>
    </row>
    <row r="336" spans="1:6" ht="15.75" thickBot="1">
      <c r="A336" s="88"/>
      <c r="B336" s="2035" t="s">
        <v>53</v>
      </c>
      <c r="C336" s="2036"/>
      <c r="D336" s="2036"/>
      <c r="E336" s="2037"/>
      <c r="F336" s="268">
        <f>F332+F335</f>
        <v>10.620000000000001</v>
      </c>
    </row>
    <row r="337" spans="1:6">
      <c r="A337" s="89"/>
      <c r="B337" s="2038" t="s">
        <v>96</v>
      </c>
      <c r="C337" s="2039"/>
      <c r="D337" s="2039"/>
      <c r="E337" s="2040"/>
      <c r="F337" s="90"/>
    </row>
    <row r="338" spans="1:6" ht="25.5">
      <c r="A338" s="1275" t="s">
        <v>59</v>
      </c>
      <c r="B338" s="1276" t="s">
        <v>97</v>
      </c>
      <c r="C338" s="1277" t="s">
        <v>98</v>
      </c>
      <c r="D338" s="2028" t="s">
        <v>60</v>
      </c>
      <c r="E338" s="2029"/>
      <c r="F338" s="76" t="s">
        <v>99</v>
      </c>
    </row>
    <row r="339" spans="1:6">
      <c r="A339" s="1255">
        <v>44861</v>
      </c>
      <c r="B339" s="1256" t="s">
        <v>2285</v>
      </c>
      <c r="C339" s="1257">
        <v>7.23</v>
      </c>
      <c r="D339" s="1962" t="s">
        <v>2175</v>
      </c>
      <c r="E339" s="1963"/>
      <c r="F339" s="1291" t="s">
        <v>2339</v>
      </c>
    </row>
    <row r="340" spans="1:6">
      <c r="A340" s="1255">
        <v>44869</v>
      </c>
      <c r="B340" s="1256" t="s">
        <v>2335</v>
      </c>
      <c r="C340" s="1257">
        <v>8.3000000000000007</v>
      </c>
      <c r="D340" s="1962" t="s">
        <v>2144</v>
      </c>
      <c r="E340" s="1963"/>
      <c r="F340" s="1291" t="s">
        <v>2355</v>
      </c>
    </row>
    <row r="341" spans="1:6">
      <c r="A341" s="1255">
        <v>44887</v>
      </c>
      <c r="B341" s="1256" t="s">
        <v>2299</v>
      </c>
      <c r="C341" s="1257">
        <v>20.03</v>
      </c>
      <c r="D341" s="1962" t="s">
        <v>2304</v>
      </c>
      <c r="E341" s="1963"/>
      <c r="F341" s="62" t="s">
        <v>2356</v>
      </c>
    </row>
    <row r="342" spans="1:6" ht="15.75" thickBot="1">
      <c r="A342" s="63"/>
      <c r="B342" s="1511" t="s">
        <v>61</v>
      </c>
      <c r="C342" s="1363">
        <f>MEDIAN(C339:C341)</f>
        <v>8.3000000000000007</v>
      </c>
      <c r="D342" s="2030"/>
      <c r="E342" s="2031"/>
      <c r="F342" s="65"/>
    </row>
    <row r="343" spans="1:6" ht="15.75" thickBot="1"/>
    <row r="344" spans="1:6" ht="25.5">
      <c r="A344" s="230" t="s">
        <v>1596</v>
      </c>
      <c r="B344" s="503" t="s">
        <v>1598</v>
      </c>
      <c r="C344" s="71" t="s">
        <v>55</v>
      </c>
      <c r="D344" s="504"/>
      <c r="E344" s="504"/>
      <c r="F344" s="505"/>
    </row>
    <row r="345" spans="1:6" ht="15.75" thickBot="1">
      <c r="A345" s="2049" t="s">
        <v>1544</v>
      </c>
      <c r="B345" s="2050"/>
      <c r="C345" s="2050"/>
      <c r="D345" s="2050"/>
      <c r="E345" s="2050"/>
      <c r="F345" s="2051"/>
    </row>
    <row r="346" spans="1:6" ht="30">
      <c r="A346" s="1204"/>
      <c r="B346" s="1205" t="s">
        <v>48</v>
      </c>
      <c r="C346" s="1206" t="s">
        <v>49</v>
      </c>
      <c r="D346" s="1207" t="s">
        <v>50</v>
      </c>
      <c r="E346" s="1208" t="s">
        <v>51</v>
      </c>
      <c r="F346" s="1209" t="s">
        <v>52</v>
      </c>
    </row>
    <row r="347" spans="1:6">
      <c r="A347" s="1301">
        <v>88264</v>
      </c>
      <c r="B347" s="1504" t="s">
        <v>94</v>
      </c>
      <c r="C347" s="1302" t="s">
        <v>57</v>
      </c>
      <c r="D347" s="1448">
        <v>0.34599999999999997</v>
      </c>
      <c r="E347" s="1287">
        <v>25.54</v>
      </c>
      <c r="F347" s="265">
        <f>TRUNC(D347*E347,2)</f>
        <v>8.83</v>
      </c>
    </row>
    <row r="348" spans="1:6" ht="25.5">
      <c r="A348" s="1449">
        <v>88247</v>
      </c>
      <c r="B348" s="1504" t="s">
        <v>93</v>
      </c>
      <c r="C348" s="1302" t="s">
        <v>57</v>
      </c>
      <c r="D348" s="1448">
        <v>0.34599999999999997</v>
      </c>
      <c r="E348" s="1006">
        <v>21</v>
      </c>
      <c r="F348" s="265">
        <f>TRUNC(D348*E348,2)</f>
        <v>7.26</v>
      </c>
    </row>
    <row r="349" spans="1:6">
      <c r="A349" s="1505"/>
      <c r="B349" s="1506"/>
      <c r="C349" s="1507"/>
      <c r="D349" s="1508"/>
      <c r="E349" s="1046" t="s">
        <v>58</v>
      </c>
      <c r="F349" s="266">
        <f>SUM(F347:F348)</f>
        <v>16.09</v>
      </c>
    </row>
    <row r="350" spans="1:6" ht="30">
      <c r="A350" s="1515"/>
      <c r="B350" s="986" t="s">
        <v>95</v>
      </c>
      <c r="C350" s="1439" t="s">
        <v>49</v>
      </c>
      <c r="D350" s="1440" t="s">
        <v>50</v>
      </c>
      <c r="E350" s="1276" t="s">
        <v>62</v>
      </c>
      <c r="F350" s="38" t="s">
        <v>52</v>
      </c>
    </row>
    <row r="351" spans="1:6" ht="25.5">
      <c r="A351" s="1449">
        <v>39772</v>
      </c>
      <c r="B351" s="1256" t="s">
        <v>1597</v>
      </c>
      <c r="C351" s="1302" t="s">
        <v>55</v>
      </c>
      <c r="D351" s="1303">
        <v>1</v>
      </c>
      <c r="E351" s="1006">
        <v>82.65</v>
      </c>
      <c r="F351" s="265">
        <f>TRUNC(D351*E351,2)</f>
        <v>82.65</v>
      </c>
    </row>
    <row r="352" spans="1:6">
      <c r="A352" s="1554"/>
      <c r="B352" s="1516"/>
      <c r="C352" s="1507"/>
      <c r="D352" s="1508"/>
      <c r="E352" s="1446" t="s">
        <v>58</v>
      </c>
      <c r="F352" s="216">
        <f>SUM(F351:F351)</f>
        <v>82.65</v>
      </c>
    </row>
    <row r="353" spans="1:6" ht="15.75" thickBot="1">
      <c r="A353" s="1555"/>
      <c r="B353" s="2052" t="s">
        <v>53</v>
      </c>
      <c r="C353" s="2052"/>
      <c r="D353" s="2052"/>
      <c r="E353" s="2052"/>
      <c r="F353" s="1047">
        <f>F349+F352</f>
        <v>98.740000000000009</v>
      </c>
    </row>
    <row r="354" spans="1:6" ht="15.75" thickBot="1"/>
    <row r="355" spans="1:6" ht="25.5">
      <c r="A355" s="230" t="s">
        <v>1599</v>
      </c>
      <c r="B355" s="503" t="s">
        <v>2201</v>
      </c>
      <c r="C355" s="71" t="s">
        <v>55</v>
      </c>
      <c r="D355" s="504"/>
      <c r="E355" s="504"/>
      <c r="F355" s="505"/>
    </row>
    <row r="356" spans="1:6">
      <c r="A356" s="2053" t="s">
        <v>525</v>
      </c>
      <c r="B356" s="2054"/>
      <c r="C356" s="2054"/>
      <c r="D356" s="2054"/>
      <c r="E356" s="2054"/>
      <c r="F356" s="2055"/>
    </row>
    <row r="357" spans="1:6" ht="30">
      <c r="A357" s="1499"/>
      <c r="B357" s="1500" t="s">
        <v>48</v>
      </c>
      <c r="C357" s="1501" t="s">
        <v>49</v>
      </c>
      <c r="D357" s="1502" t="s">
        <v>50</v>
      </c>
      <c r="E357" s="1503" t="s">
        <v>51</v>
      </c>
      <c r="F357" s="30" t="s">
        <v>52</v>
      </c>
    </row>
    <row r="358" spans="1:6">
      <c r="A358" s="1301">
        <v>88264</v>
      </c>
      <c r="B358" s="1504" t="s">
        <v>94</v>
      </c>
      <c r="C358" s="1302" t="s">
        <v>57</v>
      </c>
      <c r="D358" s="1448">
        <v>0.4</v>
      </c>
      <c r="E358" s="1287">
        <v>25.54</v>
      </c>
      <c r="F358" s="265">
        <f>TRUNC(D358*E358,2)</f>
        <v>10.210000000000001</v>
      </c>
    </row>
    <row r="359" spans="1:6" ht="25.5">
      <c r="A359" s="1449">
        <v>88247</v>
      </c>
      <c r="B359" s="1504" t="s">
        <v>93</v>
      </c>
      <c r="C359" s="1302" t="s">
        <v>57</v>
      </c>
      <c r="D359" s="1448">
        <v>0.4</v>
      </c>
      <c r="E359" s="1006">
        <v>21</v>
      </c>
      <c r="F359" s="265">
        <f>TRUNC(D359*E359,2)</f>
        <v>8.4</v>
      </c>
    </row>
    <row r="360" spans="1:6">
      <c r="A360" s="1505"/>
      <c r="B360" s="1506"/>
      <c r="C360" s="1507"/>
      <c r="D360" s="1508"/>
      <c r="E360" s="1046" t="s">
        <v>58</v>
      </c>
      <c r="F360" s="266">
        <f>SUM(F358:F359)</f>
        <v>18.61</v>
      </c>
    </row>
    <row r="361" spans="1:6" ht="30">
      <c r="A361" s="1515"/>
      <c r="B361" s="986" t="s">
        <v>95</v>
      </c>
      <c r="C361" s="1439" t="s">
        <v>49</v>
      </c>
      <c r="D361" s="1440" t="s">
        <v>50</v>
      </c>
      <c r="E361" s="1276" t="s">
        <v>62</v>
      </c>
      <c r="F361" s="38" t="s">
        <v>52</v>
      </c>
    </row>
    <row r="362" spans="1:6">
      <c r="A362" s="1449" t="s">
        <v>65</v>
      </c>
      <c r="B362" s="1548" t="s">
        <v>1603</v>
      </c>
      <c r="C362" s="1302" t="s">
        <v>55</v>
      </c>
      <c r="D362" s="1303">
        <v>1</v>
      </c>
      <c r="E362" s="1006">
        <f>C370</f>
        <v>291.76</v>
      </c>
      <c r="F362" s="265">
        <f>TRUNC(D362*E362,2)</f>
        <v>291.76</v>
      </c>
    </row>
    <row r="363" spans="1:6">
      <c r="A363" s="1554"/>
      <c r="B363" s="1516"/>
      <c r="C363" s="1507"/>
      <c r="D363" s="1508"/>
      <c r="E363" s="1446" t="s">
        <v>58</v>
      </c>
      <c r="F363" s="216">
        <f>SUM(F362:F362)</f>
        <v>291.76</v>
      </c>
    </row>
    <row r="364" spans="1:6" ht="15.75" thickBot="1">
      <c r="A364" s="1555"/>
      <c r="B364" s="2052" t="s">
        <v>53</v>
      </c>
      <c r="C364" s="2052"/>
      <c r="D364" s="2052"/>
      <c r="E364" s="2052"/>
      <c r="F364" s="1047">
        <f>F360+F363</f>
        <v>310.37</v>
      </c>
    </row>
    <row r="365" spans="1:6">
      <c r="A365" s="89"/>
      <c r="B365" s="1983" t="s">
        <v>96</v>
      </c>
      <c r="C365" s="1984"/>
      <c r="D365" s="1984"/>
      <c r="E365" s="1985"/>
      <c r="F365" s="90"/>
    </row>
    <row r="366" spans="1:6" ht="25.5">
      <c r="A366" s="1275" t="s">
        <v>59</v>
      </c>
      <c r="B366" s="1276" t="s">
        <v>97</v>
      </c>
      <c r="C366" s="1277" t="s">
        <v>98</v>
      </c>
      <c r="D366" s="1975" t="s">
        <v>60</v>
      </c>
      <c r="E366" s="1975"/>
      <c r="F366" s="76" t="s">
        <v>99</v>
      </c>
    </row>
    <row r="367" spans="1:6">
      <c r="A367" s="1255">
        <v>44868</v>
      </c>
      <c r="B367" s="1256" t="s">
        <v>2357</v>
      </c>
      <c r="C367" s="1257">
        <v>321.64</v>
      </c>
      <c r="D367" s="1962" t="s">
        <v>2358</v>
      </c>
      <c r="E367" s="1963"/>
      <c r="F367" s="1291" t="s">
        <v>2359</v>
      </c>
    </row>
    <row r="368" spans="1:6">
      <c r="A368" s="1255">
        <v>44873</v>
      </c>
      <c r="B368" s="1256" t="s">
        <v>2360</v>
      </c>
      <c r="C368" s="1257">
        <v>291.76</v>
      </c>
      <c r="D368" s="1962" t="s">
        <v>2302</v>
      </c>
      <c r="E368" s="1963"/>
      <c r="F368" s="1291" t="s">
        <v>2303</v>
      </c>
    </row>
    <row r="369" spans="1:6">
      <c r="A369" s="1255">
        <v>44873</v>
      </c>
      <c r="B369" s="1256" t="s">
        <v>2299</v>
      </c>
      <c r="C369" s="1257">
        <v>255.75</v>
      </c>
      <c r="D369" s="1962" t="s">
        <v>2304</v>
      </c>
      <c r="E369" s="1963"/>
      <c r="F369" s="1291" t="s">
        <v>2356</v>
      </c>
    </row>
    <row r="370" spans="1:6" ht="15.75" thickBot="1">
      <c r="A370" s="63"/>
      <c r="B370" s="1511" t="s">
        <v>61</v>
      </c>
      <c r="C370" s="1514">
        <f>MEDIAN(C367:C369)</f>
        <v>291.76</v>
      </c>
      <c r="D370" s="2030"/>
      <c r="E370" s="2031"/>
      <c r="F370" s="65"/>
    </row>
    <row r="371" spans="1:6" ht="15.75" thickBot="1"/>
    <row r="372" spans="1:6" ht="25.5">
      <c r="A372" s="230" t="s">
        <v>1605</v>
      </c>
      <c r="B372" s="503" t="s">
        <v>1604</v>
      </c>
      <c r="C372" s="71" t="s">
        <v>55</v>
      </c>
      <c r="D372" s="504"/>
      <c r="E372" s="504"/>
      <c r="F372" s="505"/>
    </row>
    <row r="373" spans="1:6">
      <c r="A373" s="2053" t="s">
        <v>535</v>
      </c>
      <c r="B373" s="2054"/>
      <c r="C373" s="2054"/>
      <c r="D373" s="2054"/>
      <c r="E373" s="2054"/>
      <c r="F373" s="2055"/>
    </row>
    <row r="374" spans="1:6" ht="30">
      <c r="A374" s="1499"/>
      <c r="B374" s="1500" t="s">
        <v>48</v>
      </c>
      <c r="C374" s="1501" t="s">
        <v>49</v>
      </c>
      <c r="D374" s="1502" t="s">
        <v>50</v>
      </c>
      <c r="E374" s="1503" t="s">
        <v>51</v>
      </c>
      <c r="F374" s="30" t="s">
        <v>52</v>
      </c>
    </row>
    <row r="375" spans="1:6">
      <c r="A375" s="1546">
        <v>88264</v>
      </c>
      <c r="B375" s="1504" t="s">
        <v>94</v>
      </c>
      <c r="C375" s="1302" t="s">
        <v>57</v>
      </c>
      <c r="D375" s="1448">
        <v>0.3</v>
      </c>
      <c r="E375" s="1287">
        <v>25.54</v>
      </c>
      <c r="F375" s="265">
        <f>TRUNC(D375*E375,2)</f>
        <v>7.66</v>
      </c>
    </row>
    <row r="376" spans="1:6" ht="25.5">
      <c r="A376" s="1547">
        <v>88247</v>
      </c>
      <c r="B376" s="1504" t="s">
        <v>93</v>
      </c>
      <c r="C376" s="1302" t="s">
        <v>57</v>
      </c>
      <c r="D376" s="1448">
        <v>0.3</v>
      </c>
      <c r="E376" s="1006">
        <v>21</v>
      </c>
      <c r="F376" s="265">
        <f>TRUNC(D376*E376,2)</f>
        <v>6.3</v>
      </c>
    </row>
    <row r="377" spans="1:6">
      <c r="A377" s="1505"/>
      <c r="B377" s="1506"/>
      <c r="C377" s="1507"/>
      <c r="D377" s="1508"/>
      <c r="E377" s="1046" t="s">
        <v>58</v>
      </c>
      <c r="F377" s="266">
        <f>SUM(F375:F376)</f>
        <v>13.96</v>
      </c>
    </row>
    <row r="378" spans="1:6" ht="30">
      <c r="A378" s="1515"/>
      <c r="B378" s="986" t="s">
        <v>95</v>
      </c>
      <c r="C378" s="1439" t="s">
        <v>49</v>
      </c>
      <c r="D378" s="1440" t="s">
        <v>50</v>
      </c>
      <c r="E378" s="1276" t="s">
        <v>62</v>
      </c>
      <c r="F378" s="38" t="s">
        <v>52</v>
      </c>
    </row>
    <row r="379" spans="1:6" ht="25.5">
      <c r="A379" s="1449">
        <v>39465</v>
      </c>
      <c r="B379" s="1256" t="s">
        <v>1606</v>
      </c>
      <c r="C379" s="1302" t="s">
        <v>55</v>
      </c>
      <c r="D379" s="1303">
        <v>1</v>
      </c>
      <c r="E379" s="1006">
        <v>75.05</v>
      </c>
      <c r="F379" s="265">
        <f>TRUNC(D379*E379,2)</f>
        <v>75.05</v>
      </c>
    </row>
    <row r="380" spans="1:6">
      <c r="A380" s="1554"/>
      <c r="B380" s="1516"/>
      <c r="C380" s="1507"/>
      <c r="D380" s="1508"/>
      <c r="E380" s="1446" t="s">
        <v>58</v>
      </c>
      <c r="F380" s="216">
        <f>SUM(F379:F379)</f>
        <v>75.05</v>
      </c>
    </row>
    <row r="381" spans="1:6" ht="15.75" thickBot="1">
      <c r="A381" s="1555"/>
      <c r="B381" s="2052" t="s">
        <v>53</v>
      </c>
      <c r="C381" s="2052"/>
      <c r="D381" s="2052"/>
      <c r="E381" s="2052"/>
      <c r="F381" s="1047">
        <f>F377+F380</f>
        <v>89.009999999999991</v>
      </c>
    </row>
    <row r="382" spans="1:6" ht="15.75" thickBot="1"/>
    <row r="383" spans="1:6" ht="25.5">
      <c r="A383" s="230" t="s">
        <v>2202</v>
      </c>
      <c r="B383" s="503" t="s">
        <v>2203</v>
      </c>
      <c r="C383" s="71" t="s">
        <v>55</v>
      </c>
      <c r="D383" s="504"/>
      <c r="E383" s="504"/>
      <c r="F383" s="505"/>
    </row>
    <row r="384" spans="1:6">
      <c r="A384" s="2053" t="s">
        <v>525</v>
      </c>
      <c r="B384" s="2054"/>
      <c r="C384" s="2054"/>
      <c r="D384" s="2054"/>
      <c r="E384" s="2054"/>
      <c r="F384" s="2055"/>
    </row>
    <row r="385" spans="1:6" ht="30">
      <c r="A385" s="1499"/>
      <c r="B385" s="1500" t="s">
        <v>48</v>
      </c>
      <c r="C385" s="1501" t="s">
        <v>49</v>
      </c>
      <c r="D385" s="1502" t="s">
        <v>50</v>
      </c>
      <c r="E385" s="1503" t="s">
        <v>51</v>
      </c>
      <c r="F385" s="30" t="s">
        <v>52</v>
      </c>
    </row>
    <row r="386" spans="1:6">
      <c r="A386" s="1546">
        <v>88264</v>
      </c>
      <c r="B386" s="1504" t="s">
        <v>94</v>
      </c>
      <c r="C386" s="1302" t="s">
        <v>57</v>
      </c>
      <c r="D386" s="1448">
        <v>0.4</v>
      </c>
      <c r="E386" s="1287">
        <v>25.54</v>
      </c>
      <c r="F386" s="265">
        <f>TRUNC(D386*E386,2)</f>
        <v>10.210000000000001</v>
      </c>
    </row>
    <row r="387" spans="1:6" ht="25.5">
      <c r="A387" s="1547">
        <v>88247</v>
      </c>
      <c r="B387" s="1504" t="s">
        <v>93</v>
      </c>
      <c r="C387" s="1302" t="s">
        <v>57</v>
      </c>
      <c r="D387" s="1448">
        <v>0.4</v>
      </c>
      <c r="E387" s="1006">
        <v>21</v>
      </c>
      <c r="F387" s="265">
        <f>TRUNC(D387*E387,2)</f>
        <v>8.4</v>
      </c>
    </row>
    <row r="388" spans="1:6">
      <c r="A388" s="1505"/>
      <c r="B388" s="1506"/>
      <c r="C388" s="1507"/>
      <c r="D388" s="1508"/>
      <c r="E388" s="1046" t="s">
        <v>58</v>
      </c>
      <c r="F388" s="266">
        <f>SUM(F386:F387)</f>
        <v>18.61</v>
      </c>
    </row>
    <row r="389" spans="1:6" ht="30">
      <c r="A389" s="1515"/>
      <c r="B389" s="986" t="s">
        <v>95</v>
      </c>
      <c r="C389" s="1439" t="s">
        <v>49</v>
      </c>
      <c r="D389" s="1440" t="s">
        <v>50</v>
      </c>
      <c r="E389" s="1276" t="s">
        <v>62</v>
      </c>
      <c r="F389" s="38" t="s">
        <v>52</v>
      </c>
    </row>
    <row r="390" spans="1:6">
      <c r="A390" s="1449" t="s">
        <v>65</v>
      </c>
      <c r="B390" s="1548" t="s">
        <v>2204</v>
      </c>
      <c r="C390" s="1302" t="s">
        <v>55</v>
      </c>
      <c r="D390" s="1303">
        <v>1</v>
      </c>
      <c r="E390" s="1006">
        <f>C398</f>
        <v>311.11</v>
      </c>
      <c r="F390" s="265">
        <f>TRUNC(D390*E390,2)</f>
        <v>311.11</v>
      </c>
    </row>
    <row r="391" spans="1:6">
      <c r="A391" s="1554"/>
      <c r="B391" s="1516"/>
      <c r="C391" s="1507"/>
      <c r="D391" s="1508"/>
      <c r="E391" s="1446" t="s">
        <v>58</v>
      </c>
      <c r="F391" s="216">
        <f>SUM(F390:F390)</f>
        <v>311.11</v>
      </c>
    </row>
    <row r="392" spans="1:6" ht="15.75" thickBot="1">
      <c r="A392" s="1555"/>
      <c r="B392" s="2052" t="s">
        <v>53</v>
      </c>
      <c r="C392" s="2052"/>
      <c r="D392" s="2052"/>
      <c r="E392" s="2052"/>
      <c r="F392" s="1047">
        <f>F388+F391</f>
        <v>329.72</v>
      </c>
    </row>
    <row r="393" spans="1:6">
      <c r="A393" s="89"/>
      <c r="B393" s="1983" t="s">
        <v>96</v>
      </c>
      <c r="C393" s="1984"/>
      <c r="D393" s="1984"/>
      <c r="E393" s="1985"/>
      <c r="F393" s="90"/>
    </row>
    <row r="394" spans="1:6" ht="25.5">
      <c r="A394" s="1275" t="s">
        <v>59</v>
      </c>
      <c r="B394" s="1276" t="s">
        <v>97</v>
      </c>
      <c r="C394" s="1277" t="s">
        <v>98</v>
      </c>
      <c r="D394" s="1975" t="s">
        <v>60</v>
      </c>
      <c r="E394" s="1975"/>
      <c r="F394" s="76" t="s">
        <v>99</v>
      </c>
    </row>
    <row r="395" spans="1:6">
      <c r="A395" s="1255">
        <v>44861</v>
      </c>
      <c r="B395" s="1256" t="s">
        <v>2285</v>
      </c>
      <c r="C395" s="1257">
        <v>311.11</v>
      </c>
      <c r="D395" s="1962" t="s">
        <v>2175</v>
      </c>
      <c r="E395" s="1963"/>
      <c r="F395" s="1291" t="s">
        <v>2339</v>
      </c>
    </row>
    <row r="396" spans="1:6" ht="15.75" thickBot="1">
      <c r="A396" s="1253">
        <v>44881</v>
      </c>
      <c r="B396" s="1254" t="s">
        <v>2327</v>
      </c>
      <c r="C396" s="1251">
        <v>468.73</v>
      </c>
      <c r="D396" s="2056" t="s">
        <v>2348</v>
      </c>
      <c r="E396" s="2057"/>
      <c r="F396" s="1299" t="s">
        <v>2349</v>
      </c>
    </row>
    <row r="397" spans="1:6" ht="15.75" thickBot="1">
      <c r="A397" s="1253">
        <v>44881</v>
      </c>
      <c r="B397" s="996" t="s">
        <v>2361</v>
      </c>
      <c r="C397" s="1252">
        <v>124.9</v>
      </c>
      <c r="D397" s="2058" t="s">
        <v>2362</v>
      </c>
      <c r="E397" s="2059"/>
      <c r="F397" s="1300" t="s">
        <v>2363</v>
      </c>
    </row>
    <row r="398" spans="1:6" ht="15.75" thickBot="1">
      <c r="A398" s="63"/>
      <c r="B398" s="1511" t="s">
        <v>61</v>
      </c>
      <c r="C398" s="1514">
        <f>MEDIAN(C395:C397)</f>
        <v>311.11</v>
      </c>
      <c r="D398" s="2030"/>
      <c r="E398" s="2031"/>
      <c r="F398" s="65"/>
    </row>
    <row r="399" spans="1:6" ht="15.75" thickBot="1"/>
    <row r="400" spans="1:6" ht="25.5">
      <c r="A400" s="230" t="s">
        <v>1614</v>
      </c>
      <c r="B400" s="503" t="s">
        <v>2205</v>
      </c>
      <c r="C400" s="71" t="s">
        <v>55</v>
      </c>
      <c r="D400" s="504"/>
      <c r="E400" s="504"/>
      <c r="F400" s="505"/>
    </row>
    <row r="401" spans="1:6">
      <c r="A401" s="2053" t="s">
        <v>1612</v>
      </c>
      <c r="B401" s="2054"/>
      <c r="C401" s="2054"/>
      <c r="D401" s="2054"/>
      <c r="E401" s="2054"/>
      <c r="F401" s="2055"/>
    </row>
    <row r="402" spans="1:6" ht="30">
      <c r="A402" s="1499"/>
      <c r="B402" s="1500" t="s">
        <v>48</v>
      </c>
      <c r="C402" s="1501" t="s">
        <v>49</v>
      </c>
      <c r="D402" s="1502" t="s">
        <v>50</v>
      </c>
      <c r="E402" s="1503" t="s">
        <v>51</v>
      </c>
      <c r="F402" s="30" t="s">
        <v>52</v>
      </c>
    </row>
    <row r="403" spans="1:6">
      <c r="A403" s="1546">
        <v>88264</v>
      </c>
      <c r="B403" s="1504" t="s">
        <v>94</v>
      </c>
      <c r="C403" s="1302" t="s">
        <v>57</v>
      </c>
      <c r="D403" s="1448">
        <v>0.05</v>
      </c>
      <c r="E403" s="1287">
        <v>25.54</v>
      </c>
      <c r="F403" s="265">
        <f>TRUNC(D403*E403,2)</f>
        <v>1.27</v>
      </c>
    </row>
    <row r="404" spans="1:6" ht="25.5">
      <c r="A404" s="1547">
        <v>88247</v>
      </c>
      <c r="B404" s="1504" t="s">
        <v>93</v>
      </c>
      <c r="C404" s="1302" t="s">
        <v>57</v>
      </c>
      <c r="D404" s="1448">
        <v>2.5000000000000001E-2</v>
      </c>
      <c r="E404" s="1006">
        <v>21</v>
      </c>
      <c r="F404" s="265">
        <f>TRUNC(D404*E404,2)</f>
        <v>0.52</v>
      </c>
    </row>
    <row r="405" spans="1:6">
      <c r="A405" s="1505"/>
      <c r="B405" s="1506"/>
      <c r="C405" s="1507"/>
      <c r="D405" s="1508"/>
      <c r="E405" s="1046" t="s">
        <v>58</v>
      </c>
      <c r="F405" s="266">
        <f>SUM(F403:F404)</f>
        <v>1.79</v>
      </c>
    </row>
    <row r="406" spans="1:6" ht="30">
      <c r="A406" s="1515"/>
      <c r="B406" s="986" t="s">
        <v>95</v>
      </c>
      <c r="C406" s="1439" t="s">
        <v>49</v>
      </c>
      <c r="D406" s="1440" t="s">
        <v>50</v>
      </c>
      <c r="E406" s="1276" t="s">
        <v>62</v>
      </c>
      <c r="F406" s="38" t="s">
        <v>52</v>
      </c>
    </row>
    <row r="407" spans="1:6" ht="25.5">
      <c r="A407" s="1449" t="s">
        <v>65</v>
      </c>
      <c r="B407" s="1256" t="s">
        <v>2136</v>
      </c>
      <c r="C407" s="1302" t="s">
        <v>55</v>
      </c>
      <c r="D407" s="1303">
        <v>1</v>
      </c>
      <c r="E407" s="1006">
        <f>C415</f>
        <v>2.21</v>
      </c>
      <c r="F407" s="265">
        <f>TRUNC(D407*E407,2)</f>
        <v>2.21</v>
      </c>
    </row>
    <row r="408" spans="1:6">
      <c r="A408" s="1554"/>
      <c r="B408" s="1516"/>
      <c r="C408" s="1507"/>
      <c r="D408" s="1508"/>
      <c r="E408" s="1446" t="s">
        <v>58</v>
      </c>
      <c r="F408" s="216">
        <f>SUM(F407:F407)</f>
        <v>2.21</v>
      </c>
    </row>
    <row r="409" spans="1:6" ht="15.75" thickBot="1">
      <c r="A409" s="1555"/>
      <c r="B409" s="2052" t="s">
        <v>53</v>
      </c>
      <c r="C409" s="2052"/>
      <c r="D409" s="2052"/>
      <c r="E409" s="2052"/>
      <c r="F409" s="1047">
        <f>F405+F408</f>
        <v>4</v>
      </c>
    </row>
    <row r="410" spans="1:6">
      <c r="A410" s="89"/>
      <c r="B410" s="1983" t="s">
        <v>96</v>
      </c>
      <c r="C410" s="1984"/>
      <c r="D410" s="1984"/>
      <c r="E410" s="1985"/>
      <c r="F410" s="90"/>
    </row>
    <row r="411" spans="1:6" ht="25.5">
      <c r="A411" s="1275" t="s">
        <v>59</v>
      </c>
      <c r="B411" s="1276" t="s">
        <v>97</v>
      </c>
      <c r="C411" s="1277" t="s">
        <v>98</v>
      </c>
      <c r="D411" s="1975" t="s">
        <v>60</v>
      </c>
      <c r="E411" s="1975"/>
      <c r="F411" s="76" t="s">
        <v>99</v>
      </c>
    </row>
    <row r="412" spans="1:6">
      <c r="A412" s="1255">
        <v>44869</v>
      </c>
      <c r="B412" s="1256" t="s">
        <v>2335</v>
      </c>
      <c r="C412" s="1257">
        <v>2.21</v>
      </c>
      <c r="D412" s="1962" t="s">
        <v>2144</v>
      </c>
      <c r="E412" s="1963"/>
      <c r="F412" s="1291" t="s">
        <v>2355</v>
      </c>
    </row>
    <row r="413" spans="1:6">
      <c r="A413" s="1255">
        <v>44869</v>
      </c>
      <c r="B413" s="1256" t="s">
        <v>2171</v>
      </c>
      <c r="C413" s="1257">
        <v>1.01</v>
      </c>
      <c r="D413" s="1962" t="s">
        <v>2198</v>
      </c>
      <c r="E413" s="1963"/>
      <c r="F413" s="1291" t="s">
        <v>2199</v>
      </c>
    </row>
    <row r="414" spans="1:6">
      <c r="A414" s="1255">
        <v>44872</v>
      </c>
      <c r="B414" s="1256" t="s">
        <v>2299</v>
      </c>
      <c r="C414" s="1257">
        <v>3.95</v>
      </c>
      <c r="D414" s="1962" t="s">
        <v>2304</v>
      </c>
      <c r="E414" s="1963"/>
      <c r="F414" s="1291" t="s">
        <v>2356</v>
      </c>
    </row>
    <row r="415" spans="1:6" ht="15.75" thickBot="1">
      <c r="A415" s="63"/>
      <c r="B415" s="1511" t="s">
        <v>61</v>
      </c>
      <c r="C415" s="1514">
        <f>MEDIAN(C412:C414)</f>
        <v>2.21</v>
      </c>
      <c r="D415" s="2030"/>
      <c r="E415" s="2031"/>
      <c r="F415" s="65"/>
    </row>
    <row r="416" spans="1:6" ht="15.75" thickBot="1"/>
    <row r="417" spans="1:6" ht="25.5">
      <c r="A417" s="230" t="s">
        <v>1617</v>
      </c>
      <c r="B417" s="503" t="s">
        <v>1610</v>
      </c>
      <c r="C417" s="71" t="s">
        <v>55</v>
      </c>
      <c r="D417" s="504"/>
      <c r="E417" s="504"/>
      <c r="F417" s="505"/>
    </row>
    <row r="418" spans="1:6">
      <c r="A418" s="2053" t="s">
        <v>537</v>
      </c>
      <c r="B418" s="2054"/>
      <c r="C418" s="2054"/>
      <c r="D418" s="2054"/>
      <c r="E418" s="2054"/>
      <c r="F418" s="2055"/>
    </row>
    <row r="419" spans="1:6" ht="30">
      <c r="A419" s="1499"/>
      <c r="B419" s="1500" t="s">
        <v>48</v>
      </c>
      <c r="C419" s="1501" t="s">
        <v>49</v>
      </c>
      <c r="D419" s="1502" t="s">
        <v>50</v>
      </c>
      <c r="E419" s="1503" t="s">
        <v>51</v>
      </c>
      <c r="F419" s="30" t="s">
        <v>52</v>
      </c>
    </row>
    <row r="420" spans="1:6">
      <c r="A420" s="1546">
        <v>88264</v>
      </c>
      <c r="B420" s="1504" t="s">
        <v>94</v>
      </c>
      <c r="C420" s="1302" t="s">
        <v>57</v>
      </c>
      <c r="D420" s="1448">
        <v>1.2</v>
      </c>
      <c r="E420" s="1287">
        <v>25.54</v>
      </c>
      <c r="F420" s="265">
        <f>TRUNC(D420*E420,2)</f>
        <v>30.64</v>
      </c>
    </row>
    <row r="421" spans="1:6" ht="25.5">
      <c r="A421" s="1547">
        <v>88247</v>
      </c>
      <c r="B421" s="1504" t="s">
        <v>93</v>
      </c>
      <c r="C421" s="1302" t="s">
        <v>57</v>
      </c>
      <c r="D421" s="1448">
        <v>1.2</v>
      </c>
      <c r="E421" s="1006">
        <v>21</v>
      </c>
      <c r="F421" s="265">
        <f>TRUNC(D421*E421,2)</f>
        <v>25.2</v>
      </c>
    </row>
    <row r="422" spans="1:6">
      <c r="A422" s="1505"/>
      <c r="B422" s="1506"/>
      <c r="C422" s="1507"/>
      <c r="D422" s="1508"/>
      <c r="E422" s="1046" t="s">
        <v>58</v>
      </c>
      <c r="F422" s="266">
        <f>SUM(F420:F421)</f>
        <v>55.84</v>
      </c>
    </row>
    <row r="423" spans="1:6" ht="30">
      <c r="A423" s="1515"/>
      <c r="B423" s="986" t="s">
        <v>95</v>
      </c>
      <c r="C423" s="1439" t="s">
        <v>49</v>
      </c>
      <c r="D423" s="1440" t="s">
        <v>50</v>
      </c>
      <c r="E423" s="1276" t="s">
        <v>62</v>
      </c>
      <c r="F423" s="38" t="s">
        <v>52</v>
      </c>
    </row>
    <row r="424" spans="1:6">
      <c r="A424" s="1305">
        <v>39387</v>
      </c>
      <c r="B424" s="1509" t="s">
        <v>538</v>
      </c>
      <c r="C424" s="1302" t="s">
        <v>55</v>
      </c>
      <c r="D424" s="1303">
        <v>4</v>
      </c>
      <c r="E424" s="1006">
        <v>13.61</v>
      </c>
      <c r="F424" s="265">
        <f>TRUNC(D424*E424,2)</f>
        <v>54.44</v>
      </c>
    </row>
    <row r="425" spans="1:6" ht="25.5">
      <c r="A425" s="938">
        <v>14543</v>
      </c>
      <c r="B425" s="1509" t="s">
        <v>539</v>
      </c>
      <c r="C425" s="1302" t="s">
        <v>55</v>
      </c>
      <c r="D425" s="1162">
        <v>4</v>
      </c>
      <c r="E425" s="1006">
        <v>7.51</v>
      </c>
      <c r="F425" s="265">
        <f>TRUNC(D425*E425,2)</f>
        <v>30.04</v>
      </c>
    </row>
    <row r="426" spans="1:6" ht="25.5">
      <c r="A426" s="938" t="s">
        <v>65</v>
      </c>
      <c r="B426" s="1509" t="s">
        <v>1618</v>
      </c>
      <c r="C426" s="1302" t="s">
        <v>55</v>
      </c>
      <c r="D426" s="1162">
        <v>1</v>
      </c>
      <c r="E426" s="1006">
        <f>C434</f>
        <v>206.53</v>
      </c>
      <c r="F426" s="265">
        <f>TRUNC(D426*E426,2)</f>
        <v>206.53</v>
      </c>
    </row>
    <row r="427" spans="1:6">
      <c r="A427" s="1554"/>
      <c r="B427" s="1516"/>
      <c r="C427" s="1507"/>
      <c r="D427" s="1508"/>
      <c r="E427" s="1446" t="s">
        <v>58</v>
      </c>
      <c r="F427" s="216">
        <f>SUM(F424:F426)</f>
        <v>291.01</v>
      </c>
    </row>
    <row r="428" spans="1:6" ht="15.75" thickBot="1">
      <c r="A428" s="1555"/>
      <c r="B428" s="2052" t="s">
        <v>53</v>
      </c>
      <c r="C428" s="2052"/>
      <c r="D428" s="2052"/>
      <c r="E428" s="2052"/>
      <c r="F428" s="1047">
        <f>F422+F427</f>
        <v>346.85</v>
      </c>
    </row>
    <row r="429" spans="1:6">
      <c r="A429" s="271"/>
      <c r="B429" s="1972" t="s">
        <v>96</v>
      </c>
      <c r="C429" s="1973"/>
      <c r="D429" s="1973"/>
      <c r="E429" s="1974"/>
      <c r="F429" s="272"/>
    </row>
    <row r="430" spans="1:6" ht="25.5">
      <c r="A430" s="1275" t="s">
        <v>59</v>
      </c>
      <c r="B430" s="1276" t="s">
        <v>97</v>
      </c>
      <c r="C430" s="1277" t="s">
        <v>98</v>
      </c>
      <c r="D430" s="1975" t="s">
        <v>60</v>
      </c>
      <c r="E430" s="1975"/>
      <c r="F430" s="76" t="s">
        <v>99</v>
      </c>
    </row>
    <row r="431" spans="1:6">
      <c r="A431" s="1255">
        <v>44861</v>
      </c>
      <c r="B431" s="1256" t="s">
        <v>2285</v>
      </c>
      <c r="C431" s="1257">
        <v>283.62</v>
      </c>
      <c r="D431" s="1962" t="s">
        <v>2175</v>
      </c>
      <c r="E431" s="1963"/>
      <c r="F431" s="1291" t="s">
        <v>2339</v>
      </c>
    </row>
    <row r="432" spans="1:6">
      <c r="A432" s="1255">
        <v>44881</v>
      </c>
      <c r="B432" s="1256" t="s">
        <v>2364</v>
      </c>
      <c r="C432" s="1257">
        <v>170.33</v>
      </c>
      <c r="D432" s="1962" t="s">
        <v>2365</v>
      </c>
      <c r="E432" s="1963"/>
      <c r="F432" s="1291" t="s">
        <v>2366</v>
      </c>
    </row>
    <row r="433" spans="1:6">
      <c r="A433" s="1255">
        <v>44881</v>
      </c>
      <c r="B433" s="1256" t="s">
        <v>2367</v>
      </c>
      <c r="C433" s="1257">
        <v>206.53</v>
      </c>
      <c r="D433" s="1962" t="s">
        <v>2368</v>
      </c>
      <c r="E433" s="1963"/>
      <c r="F433" s="1291" t="s">
        <v>2369</v>
      </c>
    </row>
    <row r="434" spans="1:6" ht="15.75" thickBot="1">
      <c r="A434" s="63"/>
      <c r="B434" s="1511" t="s">
        <v>61</v>
      </c>
      <c r="C434" s="1514">
        <f>MEDIAN(C431:C433)</f>
        <v>206.53</v>
      </c>
      <c r="D434" s="2030"/>
      <c r="E434" s="2031"/>
      <c r="F434" s="65"/>
    </row>
    <row r="435" spans="1:6" ht="15.75" thickBot="1">
      <c r="A435" s="170"/>
      <c r="B435" s="1484"/>
      <c r="C435" s="460"/>
      <c r="D435" s="95"/>
      <c r="E435" s="95"/>
      <c r="F435" s="170"/>
    </row>
    <row r="436" spans="1:6" ht="25.5">
      <c r="A436" s="230" t="s">
        <v>1619</v>
      </c>
      <c r="B436" s="503" t="s">
        <v>1628</v>
      </c>
      <c r="C436" s="71" t="s">
        <v>55</v>
      </c>
      <c r="D436" s="504"/>
      <c r="E436" s="504"/>
      <c r="F436" s="505"/>
    </row>
    <row r="437" spans="1:6">
      <c r="A437" s="2053" t="s">
        <v>1620</v>
      </c>
      <c r="B437" s="2054"/>
      <c r="C437" s="2054"/>
      <c r="D437" s="2054"/>
      <c r="E437" s="2054"/>
      <c r="F437" s="2055"/>
    </row>
    <row r="438" spans="1:6" ht="30">
      <c r="A438" s="1499"/>
      <c r="B438" s="1500" t="s">
        <v>48</v>
      </c>
      <c r="C438" s="1501" t="s">
        <v>49</v>
      </c>
      <c r="D438" s="1502" t="s">
        <v>50</v>
      </c>
      <c r="E438" s="1503" t="s">
        <v>51</v>
      </c>
      <c r="F438" s="30" t="s">
        <v>52</v>
      </c>
    </row>
    <row r="439" spans="1:6">
      <c r="A439" s="1546">
        <v>88264</v>
      </c>
      <c r="B439" s="1504" t="s">
        <v>94</v>
      </c>
      <c r="C439" s="1302" t="s">
        <v>57</v>
      </c>
      <c r="D439" s="1448">
        <v>0.5</v>
      </c>
      <c r="E439" s="1287">
        <v>25.54</v>
      </c>
      <c r="F439" s="265">
        <f>TRUNC(D439*E439,2)</f>
        <v>12.77</v>
      </c>
    </row>
    <row r="440" spans="1:6" ht="25.5">
      <c r="A440" s="1547">
        <v>88247</v>
      </c>
      <c r="B440" s="1504" t="s">
        <v>93</v>
      </c>
      <c r="C440" s="1302" t="s">
        <v>57</v>
      </c>
      <c r="D440" s="1448">
        <v>0.3</v>
      </c>
      <c r="E440" s="1006">
        <v>21</v>
      </c>
      <c r="F440" s="265">
        <f>TRUNC(D440*E440,2)</f>
        <v>6.3</v>
      </c>
    </row>
    <row r="441" spans="1:6">
      <c r="A441" s="1505"/>
      <c r="B441" s="1506"/>
      <c r="C441" s="1507"/>
      <c r="D441" s="1508"/>
      <c r="E441" s="1046" t="s">
        <v>58</v>
      </c>
      <c r="F441" s="266">
        <f>SUM(F439:F440)</f>
        <v>19.07</v>
      </c>
    </row>
    <row r="442" spans="1:6" ht="30">
      <c r="A442" s="1515"/>
      <c r="B442" s="986" t="s">
        <v>95</v>
      </c>
      <c r="C442" s="1439" t="s">
        <v>49</v>
      </c>
      <c r="D442" s="1440" t="s">
        <v>50</v>
      </c>
      <c r="E442" s="1276" t="s">
        <v>62</v>
      </c>
      <c r="F442" s="38" t="s">
        <v>52</v>
      </c>
    </row>
    <row r="443" spans="1:6" ht="38.25">
      <c r="A443" s="1301">
        <v>7568</v>
      </c>
      <c r="B443" s="1256" t="s">
        <v>2370</v>
      </c>
      <c r="C443" s="1302" t="s">
        <v>55</v>
      </c>
      <c r="D443" s="1303">
        <v>2</v>
      </c>
      <c r="E443" s="1006">
        <v>0.61</v>
      </c>
      <c r="F443" s="265">
        <f>TRUNC(D443*E443,2)</f>
        <v>1.22</v>
      </c>
    </row>
    <row r="444" spans="1:6" ht="25.5">
      <c r="A444" s="938">
        <v>39391</v>
      </c>
      <c r="B444" s="1256" t="s">
        <v>1633</v>
      </c>
      <c r="C444" s="1302" t="s">
        <v>55</v>
      </c>
      <c r="D444" s="1162">
        <v>1</v>
      </c>
      <c r="E444" s="1006">
        <v>41.65</v>
      </c>
      <c r="F444" s="265">
        <f>TRUNC(D444*E444,2)</f>
        <v>41.65</v>
      </c>
    </row>
    <row r="445" spans="1:6">
      <c r="A445" s="1554"/>
      <c r="B445" s="1516"/>
      <c r="C445" s="1507"/>
      <c r="D445" s="1508"/>
      <c r="E445" s="1446" t="s">
        <v>58</v>
      </c>
      <c r="F445" s="216">
        <f>SUM(F443:F444)</f>
        <v>42.87</v>
      </c>
    </row>
    <row r="446" spans="1:6" ht="15.75" thickBot="1">
      <c r="A446" s="1555"/>
      <c r="B446" s="2052" t="s">
        <v>53</v>
      </c>
      <c r="C446" s="2052"/>
      <c r="D446" s="2052"/>
      <c r="E446" s="2052"/>
      <c r="F446" s="1047">
        <f>F441+F445</f>
        <v>61.94</v>
      </c>
    </row>
    <row r="447" spans="1:6" ht="15.75" thickBot="1">
      <c r="A447" s="170"/>
      <c r="B447" s="1484"/>
      <c r="C447" s="460"/>
      <c r="D447" s="95"/>
      <c r="E447" s="95"/>
      <c r="F447" s="170"/>
    </row>
    <row r="448" spans="1:6" ht="25.5">
      <c r="A448" s="230" t="s">
        <v>1621</v>
      </c>
      <c r="B448" s="503" t="s">
        <v>1627</v>
      </c>
      <c r="C448" s="71" t="s">
        <v>55</v>
      </c>
      <c r="D448" s="504"/>
      <c r="E448" s="504"/>
      <c r="F448" s="505"/>
    </row>
    <row r="449" spans="1:6">
      <c r="A449" s="2053" t="s">
        <v>1620</v>
      </c>
      <c r="B449" s="2054"/>
      <c r="C449" s="2054"/>
      <c r="D449" s="2054"/>
      <c r="E449" s="2054"/>
      <c r="F449" s="2055"/>
    </row>
    <row r="450" spans="1:6" ht="30">
      <c r="A450" s="1499"/>
      <c r="B450" s="1500" t="s">
        <v>48</v>
      </c>
      <c r="C450" s="1501" t="s">
        <v>49</v>
      </c>
      <c r="D450" s="1502" t="s">
        <v>50</v>
      </c>
      <c r="E450" s="1503" t="s">
        <v>51</v>
      </c>
      <c r="F450" s="30" t="s">
        <v>52</v>
      </c>
    </row>
    <row r="451" spans="1:6">
      <c r="A451" s="1546">
        <v>88264</v>
      </c>
      <c r="B451" s="1504" t="s">
        <v>94</v>
      </c>
      <c r="C451" s="1302" t="s">
        <v>57</v>
      </c>
      <c r="D451" s="1448">
        <v>0.5</v>
      </c>
      <c r="E451" s="1287">
        <v>25.54</v>
      </c>
      <c r="F451" s="265">
        <f>TRUNC(D451*E451,2)</f>
        <v>12.77</v>
      </c>
    </row>
    <row r="452" spans="1:6" ht="25.5">
      <c r="A452" s="1547">
        <v>88247</v>
      </c>
      <c r="B452" s="1504" t="s">
        <v>93</v>
      </c>
      <c r="C452" s="1302" t="s">
        <v>57</v>
      </c>
      <c r="D452" s="1448">
        <v>0.3</v>
      </c>
      <c r="E452" s="1006">
        <v>21</v>
      </c>
      <c r="F452" s="265">
        <f>TRUNC(D452*E452,2)</f>
        <v>6.3</v>
      </c>
    </row>
    <row r="453" spans="1:6">
      <c r="A453" s="1505"/>
      <c r="B453" s="1506"/>
      <c r="C453" s="1507"/>
      <c r="D453" s="1508"/>
      <c r="E453" s="1046" t="s">
        <v>58</v>
      </c>
      <c r="F453" s="266">
        <f>SUM(F451:F452)</f>
        <v>19.07</v>
      </c>
    </row>
    <row r="454" spans="1:6" ht="30">
      <c r="A454" s="1515"/>
      <c r="B454" s="986" t="s">
        <v>95</v>
      </c>
      <c r="C454" s="1439" t="s">
        <v>49</v>
      </c>
      <c r="D454" s="1440" t="s">
        <v>50</v>
      </c>
      <c r="E454" s="1276" t="s">
        <v>62</v>
      </c>
      <c r="F454" s="38" t="s">
        <v>52</v>
      </c>
    </row>
    <row r="455" spans="1:6" ht="38.25">
      <c r="A455" s="1301">
        <v>7568</v>
      </c>
      <c r="B455" s="1256" t="s">
        <v>2370</v>
      </c>
      <c r="C455" s="1302" t="s">
        <v>55</v>
      </c>
      <c r="D455" s="1303">
        <v>2</v>
      </c>
      <c r="E455" s="1006">
        <v>0.61</v>
      </c>
      <c r="F455" s="265">
        <f>TRUNC(D455*E455,2)</f>
        <v>1.22</v>
      </c>
    </row>
    <row r="456" spans="1:6" ht="25.5">
      <c r="A456" s="938">
        <v>39389</v>
      </c>
      <c r="B456" s="1256" t="s">
        <v>1623</v>
      </c>
      <c r="C456" s="1302" t="s">
        <v>55</v>
      </c>
      <c r="D456" s="1162">
        <v>1</v>
      </c>
      <c r="E456" s="1006">
        <v>17.7</v>
      </c>
      <c r="F456" s="265">
        <f>TRUNC(D456*E456,2)</f>
        <v>17.7</v>
      </c>
    </row>
    <row r="457" spans="1:6">
      <c r="A457" s="1554"/>
      <c r="B457" s="1516"/>
      <c r="C457" s="1507"/>
      <c r="D457" s="1508"/>
      <c r="E457" s="1446" t="s">
        <v>58</v>
      </c>
      <c r="F457" s="216">
        <f>SUM(F455:F456)</f>
        <v>18.919999999999998</v>
      </c>
    </row>
    <row r="458" spans="1:6" ht="15.75" thickBot="1">
      <c r="A458" s="1555"/>
      <c r="B458" s="2052" t="s">
        <v>53</v>
      </c>
      <c r="C458" s="2052"/>
      <c r="D458" s="2052"/>
      <c r="E458" s="2052"/>
      <c r="F458" s="1047">
        <f>F453+F457</f>
        <v>37.989999999999995</v>
      </c>
    </row>
    <row r="459" spans="1:6" ht="15.75" thickBot="1">
      <c r="A459" s="319"/>
      <c r="B459" s="1483"/>
      <c r="C459" s="499"/>
      <c r="D459" s="500"/>
      <c r="E459" s="501"/>
      <c r="F459" s="502"/>
    </row>
    <row r="460" spans="1:6" ht="25.5">
      <c r="A460" s="230" t="s">
        <v>1622</v>
      </c>
      <c r="B460" s="503" t="s">
        <v>1634</v>
      </c>
      <c r="C460" s="71" t="s">
        <v>55</v>
      </c>
      <c r="D460" s="504"/>
      <c r="E460" s="504"/>
      <c r="F460" s="505"/>
    </row>
    <row r="461" spans="1:6">
      <c r="A461" s="2053" t="s">
        <v>1635</v>
      </c>
      <c r="B461" s="2054"/>
      <c r="C461" s="2054"/>
      <c r="D461" s="2054"/>
      <c r="E461" s="2054"/>
      <c r="F461" s="2055"/>
    </row>
    <row r="462" spans="1:6" ht="30">
      <c r="A462" s="1499"/>
      <c r="B462" s="1500" t="s">
        <v>48</v>
      </c>
      <c r="C462" s="1501" t="s">
        <v>49</v>
      </c>
      <c r="D462" s="1502" t="s">
        <v>50</v>
      </c>
      <c r="E462" s="1503" t="s">
        <v>51</v>
      </c>
      <c r="F462" s="30" t="s">
        <v>52</v>
      </c>
    </row>
    <row r="463" spans="1:6">
      <c r="A463" s="1546">
        <v>88264</v>
      </c>
      <c r="B463" s="1504" t="s">
        <v>94</v>
      </c>
      <c r="C463" s="1302" t="s">
        <v>57</v>
      </c>
      <c r="D463" s="1448">
        <v>0.5</v>
      </c>
      <c r="E463" s="1287">
        <v>25.54</v>
      </c>
      <c r="F463" s="265">
        <f>TRUNC(D463*E463,2)</f>
        <v>12.77</v>
      </c>
    </row>
    <row r="464" spans="1:6" ht="25.5">
      <c r="A464" s="1547">
        <v>88247</v>
      </c>
      <c r="B464" s="1504" t="s">
        <v>93</v>
      </c>
      <c r="C464" s="1302" t="s">
        <v>57</v>
      </c>
      <c r="D464" s="1448">
        <v>0.3</v>
      </c>
      <c r="E464" s="1006">
        <v>21</v>
      </c>
      <c r="F464" s="265">
        <f>TRUNC(D464*E464,2)</f>
        <v>6.3</v>
      </c>
    </row>
    <row r="465" spans="1:6">
      <c r="A465" s="1505"/>
      <c r="B465" s="1506"/>
      <c r="C465" s="1507"/>
      <c r="D465" s="1508"/>
      <c r="E465" s="1046" t="s">
        <v>58</v>
      </c>
      <c r="F465" s="266">
        <f>SUM(F463:F464)</f>
        <v>19.07</v>
      </c>
    </row>
    <row r="466" spans="1:6" ht="30">
      <c r="A466" s="1515"/>
      <c r="B466" s="986" t="s">
        <v>95</v>
      </c>
      <c r="C466" s="1439" t="s">
        <v>49</v>
      </c>
      <c r="D466" s="1440" t="s">
        <v>50</v>
      </c>
      <c r="E466" s="1276" t="s">
        <v>62</v>
      </c>
      <c r="F466" s="38" t="s">
        <v>52</v>
      </c>
    </row>
    <row r="467" spans="1:6" ht="25.5">
      <c r="A467" s="940">
        <v>21127</v>
      </c>
      <c r="B467" s="1256" t="s">
        <v>1629</v>
      </c>
      <c r="C467" s="1302" t="s">
        <v>55</v>
      </c>
      <c r="D467" s="1162">
        <v>2.1000000000000001E-2</v>
      </c>
      <c r="E467" s="1006">
        <v>4.0599999999999996</v>
      </c>
      <c r="F467" s="265">
        <f>TRUNC(D467*E467,2)</f>
        <v>0.08</v>
      </c>
    </row>
    <row r="468" spans="1:6">
      <c r="A468" s="938">
        <v>39380</v>
      </c>
      <c r="B468" s="1256" t="s">
        <v>1630</v>
      </c>
      <c r="C468" s="1302" t="s">
        <v>55</v>
      </c>
      <c r="D468" s="1162">
        <v>1</v>
      </c>
      <c r="E468" s="1006">
        <v>20.65</v>
      </c>
      <c r="F468" s="265">
        <f t="shared" ref="F468:F469" si="2">TRUNC(D468*E468,2)</f>
        <v>20.65</v>
      </c>
    </row>
    <row r="469" spans="1:6" ht="25.5">
      <c r="A469" s="938" t="s">
        <v>65</v>
      </c>
      <c r="B469" s="1256" t="s">
        <v>1624</v>
      </c>
      <c r="C469" s="1302" t="s">
        <v>55</v>
      </c>
      <c r="D469" s="1162">
        <v>1</v>
      </c>
      <c r="E469" s="1006">
        <f>C477</f>
        <v>38.229999999999997</v>
      </c>
      <c r="F469" s="265">
        <f t="shared" si="2"/>
        <v>38.229999999999997</v>
      </c>
    </row>
    <row r="470" spans="1:6">
      <c r="A470" s="1554"/>
      <c r="B470" s="1516"/>
      <c r="C470" s="1507"/>
      <c r="D470" s="1508"/>
      <c r="E470" s="1446" t="s">
        <v>58</v>
      </c>
      <c r="F470" s="216">
        <f>SUM(F467:F469)</f>
        <v>58.959999999999994</v>
      </c>
    </row>
    <row r="471" spans="1:6" ht="15.75" thickBot="1">
      <c r="A471" s="1555"/>
      <c r="B471" s="2052" t="s">
        <v>53</v>
      </c>
      <c r="C471" s="2052"/>
      <c r="D471" s="2052"/>
      <c r="E471" s="2052"/>
      <c r="F471" s="1047">
        <f>F465+F470</f>
        <v>78.03</v>
      </c>
    </row>
    <row r="472" spans="1:6">
      <c r="A472" s="271"/>
      <c r="B472" s="1972" t="s">
        <v>96</v>
      </c>
      <c r="C472" s="1973"/>
      <c r="D472" s="1973"/>
      <c r="E472" s="1974"/>
      <c r="F472" s="272"/>
    </row>
    <row r="473" spans="1:6" ht="25.5">
      <c r="A473" s="1275" t="s">
        <v>59</v>
      </c>
      <c r="B473" s="1276" t="s">
        <v>97</v>
      </c>
      <c r="C473" s="1277" t="s">
        <v>98</v>
      </c>
      <c r="D473" s="1975" t="s">
        <v>60</v>
      </c>
      <c r="E473" s="1975"/>
      <c r="F473" s="76" t="s">
        <v>99</v>
      </c>
    </row>
    <row r="474" spans="1:6">
      <c r="A474" s="1255">
        <v>44868</v>
      </c>
      <c r="B474" s="1256" t="s">
        <v>2357</v>
      </c>
      <c r="C474" s="1257">
        <v>30.46</v>
      </c>
      <c r="D474" s="1962" t="s">
        <v>2358</v>
      </c>
      <c r="E474" s="1963"/>
      <c r="F474" s="1291" t="s">
        <v>2359</v>
      </c>
    </row>
    <row r="475" spans="1:6">
      <c r="A475" s="1255">
        <v>44872</v>
      </c>
      <c r="B475" s="1256" t="s">
        <v>2371</v>
      </c>
      <c r="C475" s="1257">
        <v>38.229999999999997</v>
      </c>
      <c r="D475" s="1962" t="s">
        <v>2302</v>
      </c>
      <c r="E475" s="1963"/>
      <c r="F475" s="1291" t="s">
        <v>2303</v>
      </c>
    </row>
    <row r="476" spans="1:6">
      <c r="A476" s="1255">
        <v>44872</v>
      </c>
      <c r="B476" s="1256" t="s">
        <v>2372</v>
      </c>
      <c r="C476" s="1257">
        <v>49.46</v>
      </c>
      <c r="D476" s="1962" t="s">
        <v>2328</v>
      </c>
      <c r="E476" s="1963"/>
      <c r="F476" s="1291" t="s">
        <v>2349</v>
      </c>
    </row>
    <row r="477" spans="1:6" ht="15.75" thickBot="1">
      <c r="A477" s="63"/>
      <c r="B477" s="1511" t="s">
        <v>61</v>
      </c>
      <c r="C477" s="1514">
        <f>MEDIAN(C474:C476)</f>
        <v>38.229999999999997</v>
      </c>
      <c r="D477" s="2030"/>
      <c r="E477" s="2031"/>
      <c r="F477" s="65"/>
    </row>
    <row r="478" spans="1:6" ht="15.75" thickBot="1">
      <c r="A478" s="170"/>
      <c r="B478" s="1484"/>
      <c r="C478" s="460"/>
      <c r="D478" s="95"/>
      <c r="E478" s="95"/>
      <c r="F478" s="170"/>
    </row>
    <row r="479" spans="1:6">
      <c r="A479" s="230" t="s">
        <v>1626</v>
      </c>
      <c r="B479" s="503" t="s">
        <v>1631</v>
      </c>
      <c r="C479" s="71" t="s">
        <v>55</v>
      </c>
      <c r="D479" s="504"/>
      <c r="E479" s="504"/>
      <c r="F479" s="505"/>
    </row>
    <row r="480" spans="1:6">
      <c r="A480" s="2053" t="s">
        <v>1636</v>
      </c>
      <c r="B480" s="2054"/>
      <c r="C480" s="2054"/>
      <c r="D480" s="2054"/>
      <c r="E480" s="2054"/>
      <c r="F480" s="2055"/>
    </row>
    <row r="481" spans="1:6" ht="30">
      <c r="A481" s="1499"/>
      <c r="B481" s="1500" t="s">
        <v>48</v>
      </c>
      <c r="C481" s="1501" t="s">
        <v>49</v>
      </c>
      <c r="D481" s="1502" t="s">
        <v>50</v>
      </c>
      <c r="E481" s="1503" t="s">
        <v>51</v>
      </c>
      <c r="F481" s="30" t="s">
        <v>52</v>
      </c>
    </row>
    <row r="482" spans="1:6">
      <c r="A482" s="1301">
        <v>88264</v>
      </c>
      <c r="B482" s="1504" t="s">
        <v>94</v>
      </c>
      <c r="C482" s="1302" t="s">
        <v>57</v>
      </c>
      <c r="D482" s="1448">
        <v>0.03</v>
      </c>
      <c r="E482" s="1287">
        <v>25.54</v>
      </c>
      <c r="F482" s="265">
        <f>TRUNC(D482*E482,2)</f>
        <v>0.76</v>
      </c>
    </row>
    <row r="483" spans="1:6" ht="25.5">
      <c r="A483" s="1449">
        <v>88247</v>
      </c>
      <c r="B483" s="1504" t="s">
        <v>93</v>
      </c>
      <c r="C483" s="1302" t="s">
        <v>57</v>
      </c>
      <c r="D483" s="1448">
        <v>0.03</v>
      </c>
      <c r="E483" s="1006">
        <v>21</v>
      </c>
      <c r="F483" s="265">
        <f>TRUNC(D483*E483,2)</f>
        <v>0.63</v>
      </c>
    </row>
    <row r="484" spans="1:6">
      <c r="A484" s="1505"/>
      <c r="B484" s="1506"/>
      <c r="C484" s="1507"/>
      <c r="D484" s="1508"/>
      <c r="E484" s="1046" t="s">
        <v>58</v>
      </c>
      <c r="F484" s="266">
        <f>SUM(F482:F483)</f>
        <v>1.3900000000000001</v>
      </c>
    </row>
    <row r="485" spans="1:6" ht="30.75" thickBot="1">
      <c r="A485" s="1008"/>
      <c r="B485" s="1556" t="s">
        <v>95</v>
      </c>
      <c r="C485" s="1557" t="s">
        <v>49</v>
      </c>
      <c r="D485" s="1558" t="s">
        <v>50</v>
      </c>
      <c r="E485" s="1559" t="s">
        <v>62</v>
      </c>
      <c r="F485" s="1149" t="s">
        <v>52</v>
      </c>
    </row>
    <row r="486" spans="1:6">
      <c r="A486" s="976">
        <v>7543</v>
      </c>
      <c r="B486" s="977" t="s">
        <v>1632</v>
      </c>
      <c r="C486" s="978" t="s">
        <v>55</v>
      </c>
      <c r="D486" s="1213">
        <v>1</v>
      </c>
      <c r="E486" s="1159">
        <v>5.57</v>
      </c>
      <c r="F486" s="1160">
        <f>TRUNC(D486*E486,2)</f>
        <v>5.57</v>
      </c>
    </row>
    <row r="487" spans="1:6">
      <c r="A487" s="1554"/>
      <c r="B487" s="1516"/>
      <c r="C487" s="1507"/>
      <c r="D487" s="1508"/>
      <c r="E487" s="1446" t="s">
        <v>58</v>
      </c>
      <c r="F487" s="216">
        <f>SUM(F486:F486)</f>
        <v>5.57</v>
      </c>
    </row>
    <row r="488" spans="1:6" ht="15.75" thickBot="1">
      <c r="A488" s="1555"/>
      <c r="B488" s="2052" t="s">
        <v>53</v>
      </c>
      <c r="C488" s="2052"/>
      <c r="D488" s="2052"/>
      <c r="E488" s="2052"/>
      <c r="F488" s="1047">
        <f>F484+F487</f>
        <v>6.9600000000000009</v>
      </c>
    </row>
    <row r="489" spans="1:6" ht="15.75" thickBot="1">
      <c r="A489" s="170"/>
      <c r="B489" s="1484"/>
      <c r="C489" s="460"/>
      <c r="D489" s="95"/>
      <c r="E489" s="95"/>
      <c r="F489" s="170"/>
    </row>
    <row r="490" spans="1:6" ht="26.25" thickBot="1">
      <c r="A490" s="262" t="s">
        <v>2157</v>
      </c>
      <c r="B490" s="263" t="s">
        <v>1562</v>
      </c>
      <c r="C490" s="83" t="s">
        <v>55</v>
      </c>
      <c r="D490" s="108"/>
      <c r="E490" s="108"/>
      <c r="F490" s="109"/>
    </row>
    <row r="491" spans="1:6">
      <c r="A491" s="2041" t="s">
        <v>2148</v>
      </c>
      <c r="B491" s="2042"/>
      <c r="C491" s="2042"/>
      <c r="D491" s="2042"/>
      <c r="E491" s="2042"/>
      <c r="F491" s="2043"/>
    </row>
    <row r="492" spans="1:6" ht="30">
      <c r="A492" s="1499"/>
      <c r="B492" s="1500" t="s">
        <v>48</v>
      </c>
      <c r="C492" s="1501" t="s">
        <v>49</v>
      </c>
      <c r="D492" s="1502" t="s">
        <v>50</v>
      </c>
      <c r="E492" s="1503" t="s">
        <v>51</v>
      </c>
      <c r="F492" s="30" t="s">
        <v>52</v>
      </c>
    </row>
    <row r="493" spans="1:6">
      <c r="A493" s="1449">
        <v>88266</v>
      </c>
      <c r="B493" s="1256" t="s">
        <v>2149</v>
      </c>
      <c r="C493" s="1302" t="s">
        <v>57</v>
      </c>
      <c r="D493" s="1448">
        <v>38.267000000000003</v>
      </c>
      <c r="E493" s="1287">
        <v>31.55</v>
      </c>
      <c r="F493" s="265">
        <f>TRUNC(D493*E493,2)</f>
        <v>1207.32</v>
      </c>
    </row>
    <row r="494" spans="1:6">
      <c r="A494" s="1449">
        <v>88264</v>
      </c>
      <c r="B494" s="1256" t="s">
        <v>94</v>
      </c>
      <c r="C494" s="1302" t="s">
        <v>57</v>
      </c>
      <c r="D494" s="1448">
        <v>23.385000000000002</v>
      </c>
      <c r="E494" s="1287">
        <v>25.54</v>
      </c>
      <c r="F494" s="265">
        <f t="shared" ref="F494:F495" si="3">TRUNC(D494*E494,2)</f>
        <v>597.25</v>
      </c>
    </row>
    <row r="495" spans="1:6" ht="25.5">
      <c r="A495" s="1449">
        <v>88247</v>
      </c>
      <c r="B495" s="1256" t="s">
        <v>93</v>
      </c>
      <c r="C495" s="1302" t="s">
        <v>57</v>
      </c>
      <c r="D495" s="1448">
        <v>44.643999999999998</v>
      </c>
      <c r="E495" s="1006">
        <v>21</v>
      </c>
      <c r="F495" s="265">
        <f t="shared" si="3"/>
        <v>937.52</v>
      </c>
    </row>
    <row r="496" spans="1:6">
      <c r="A496" s="1505"/>
      <c r="B496" s="1506"/>
      <c r="C496" s="1507"/>
      <c r="D496" s="1508"/>
      <c r="E496" s="1046" t="s">
        <v>58</v>
      </c>
      <c r="F496" s="33">
        <f>SUM(F493:F495)</f>
        <v>2742.09</v>
      </c>
    </row>
    <row r="497" spans="1:6" ht="30">
      <c r="A497" s="1515"/>
      <c r="B497" s="986" t="s">
        <v>95</v>
      </c>
      <c r="C497" s="1439" t="s">
        <v>49</v>
      </c>
      <c r="D497" s="1440" t="s">
        <v>50</v>
      </c>
      <c r="E497" s="1276" t="s">
        <v>62</v>
      </c>
      <c r="F497" s="38" t="s">
        <v>52</v>
      </c>
    </row>
    <row r="498" spans="1:6">
      <c r="A498" s="1449" t="s">
        <v>65</v>
      </c>
      <c r="B498" s="1256" t="s">
        <v>2206</v>
      </c>
      <c r="C498" s="1302" t="s">
        <v>55</v>
      </c>
      <c r="D498" s="1513">
        <v>1</v>
      </c>
      <c r="E498" s="1006">
        <f>C506</f>
        <v>603.32000000000005</v>
      </c>
      <c r="F498" s="265">
        <f>TRUNC(D498*E498,2)</f>
        <v>603.32000000000005</v>
      </c>
    </row>
    <row r="499" spans="1:6" ht="15.75" thickBot="1">
      <c r="A499" s="1142"/>
      <c r="B499" s="1143"/>
      <c r="C499" s="1144"/>
      <c r="D499" s="1145"/>
      <c r="E499" s="1046" t="s">
        <v>58</v>
      </c>
      <c r="F499" s="989">
        <f>SUM(F496,F498)</f>
        <v>3345.4100000000003</v>
      </c>
    </row>
    <row r="500" spans="1:6" ht="15.75" thickBot="1">
      <c r="A500" s="88"/>
      <c r="B500" s="2035" t="s">
        <v>53</v>
      </c>
      <c r="C500" s="2036"/>
      <c r="D500" s="2036"/>
      <c r="E500" s="2037"/>
      <c r="F500" s="91">
        <f>F496+F499</f>
        <v>6087.5</v>
      </c>
    </row>
    <row r="501" spans="1:6">
      <c r="A501" s="89"/>
      <c r="B501" s="2038" t="s">
        <v>96</v>
      </c>
      <c r="C501" s="2039"/>
      <c r="D501" s="2039"/>
      <c r="E501" s="2040"/>
      <c r="F501" s="90"/>
    </row>
    <row r="502" spans="1:6" ht="25.5">
      <c r="A502" s="1275" t="s">
        <v>59</v>
      </c>
      <c r="B502" s="1276" t="s">
        <v>97</v>
      </c>
      <c r="C502" s="1277" t="s">
        <v>98</v>
      </c>
      <c r="D502" s="2028" t="s">
        <v>60</v>
      </c>
      <c r="E502" s="2029"/>
      <c r="F502" s="76" t="s">
        <v>99</v>
      </c>
    </row>
    <row r="503" spans="1:6">
      <c r="A503" s="1255">
        <v>44869</v>
      </c>
      <c r="B503" s="1256" t="s">
        <v>2335</v>
      </c>
      <c r="C503" s="1257">
        <v>603.32000000000005</v>
      </c>
      <c r="D503" s="1962" t="s">
        <v>2144</v>
      </c>
      <c r="E503" s="1963"/>
      <c r="F503" s="1291" t="s">
        <v>2355</v>
      </c>
    </row>
    <row r="504" spans="1:6">
      <c r="A504" s="1255">
        <v>44872</v>
      </c>
      <c r="B504" s="1256" t="s">
        <v>2309</v>
      </c>
      <c r="C504" s="1257">
        <v>503.54</v>
      </c>
      <c r="D504" s="1962" t="s">
        <v>2297</v>
      </c>
      <c r="E504" s="1963"/>
      <c r="F504" s="1282" t="s">
        <v>2311</v>
      </c>
    </row>
    <row r="505" spans="1:6">
      <c r="A505" s="1255">
        <v>44872</v>
      </c>
      <c r="B505" s="1256" t="s">
        <v>2373</v>
      </c>
      <c r="C505" s="1257">
        <v>688.96</v>
      </c>
      <c r="D505" s="1962" t="s">
        <v>2374</v>
      </c>
      <c r="E505" s="1963"/>
      <c r="F505" s="1282" t="s">
        <v>2375</v>
      </c>
    </row>
    <row r="506" spans="1:6" ht="15.75" thickBot="1">
      <c r="A506" s="63"/>
      <c r="B506" s="1511" t="s">
        <v>61</v>
      </c>
      <c r="C506" s="1514">
        <f>MEDIAN(C503:C505)</f>
        <v>603.32000000000005</v>
      </c>
      <c r="D506" s="2030"/>
      <c r="E506" s="2031"/>
      <c r="F506" s="65"/>
    </row>
    <row r="507" spans="1:6" ht="15.75" thickBot="1">
      <c r="A507" s="170"/>
      <c r="B507" s="1484"/>
      <c r="C507" s="460"/>
      <c r="D507" s="95"/>
      <c r="E507" s="95"/>
      <c r="F507" s="170"/>
    </row>
    <row r="508" spans="1:6" ht="15.75" thickBot="1">
      <c r="A508" s="262" t="s">
        <v>2159</v>
      </c>
      <c r="B508" s="263" t="s">
        <v>1563</v>
      </c>
      <c r="C508" s="83" t="s">
        <v>54</v>
      </c>
      <c r="D508" s="108"/>
      <c r="E508" s="108"/>
      <c r="F508" s="109"/>
    </row>
    <row r="509" spans="1:6">
      <c r="A509" s="2041" t="s">
        <v>1549</v>
      </c>
      <c r="B509" s="2042"/>
      <c r="C509" s="2042"/>
      <c r="D509" s="2042"/>
      <c r="E509" s="2042"/>
      <c r="F509" s="2043"/>
    </row>
    <row r="510" spans="1:6" ht="30">
      <c r="A510" s="1499"/>
      <c r="B510" s="1500" t="s">
        <v>48</v>
      </c>
      <c r="C510" s="1501" t="s">
        <v>49</v>
      </c>
      <c r="D510" s="1502" t="s">
        <v>50</v>
      </c>
      <c r="E510" s="1503" t="s">
        <v>51</v>
      </c>
      <c r="F510" s="30" t="s">
        <v>52</v>
      </c>
    </row>
    <row r="511" spans="1:6">
      <c r="A511" s="1546">
        <v>88264</v>
      </c>
      <c r="B511" s="1504" t="s">
        <v>94</v>
      </c>
      <c r="C511" s="1302" t="s">
        <v>57</v>
      </c>
      <c r="D511" s="1448">
        <v>0.15</v>
      </c>
      <c r="E511" s="1287">
        <v>25.54</v>
      </c>
      <c r="F511" s="265">
        <f>TRUNC(D511*E511,2)</f>
        <v>3.83</v>
      </c>
    </row>
    <row r="512" spans="1:6" ht="25.5">
      <c r="A512" s="1547">
        <v>88247</v>
      </c>
      <c r="B512" s="1504" t="s">
        <v>93</v>
      </c>
      <c r="C512" s="1302" t="s">
        <v>57</v>
      </c>
      <c r="D512" s="1448">
        <v>0.15</v>
      </c>
      <c r="E512" s="1006">
        <v>21</v>
      </c>
      <c r="F512" s="265">
        <f>TRUNC(D512*E512,2)</f>
        <v>3.15</v>
      </c>
    </row>
    <row r="513" spans="1:6">
      <c r="A513" s="1505"/>
      <c r="B513" s="1506"/>
      <c r="C513" s="1507"/>
      <c r="D513" s="1508"/>
      <c r="E513" s="1046" t="s">
        <v>58</v>
      </c>
      <c r="F513" s="266">
        <f>SUM(F511:F512)</f>
        <v>6.98</v>
      </c>
    </row>
    <row r="514" spans="1:6" ht="30">
      <c r="A514" s="1515"/>
      <c r="B514" s="986" t="s">
        <v>95</v>
      </c>
      <c r="C514" s="1439" t="s">
        <v>49</v>
      </c>
      <c r="D514" s="1440" t="s">
        <v>50</v>
      </c>
      <c r="E514" s="1276" t="s">
        <v>62</v>
      </c>
      <c r="F514" s="38" t="s">
        <v>52</v>
      </c>
    </row>
    <row r="515" spans="1:6">
      <c r="A515" s="1547" t="s">
        <v>65</v>
      </c>
      <c r="B515" s="1256" t="s">
        <v>1565</v>
      </c>
      <c r="C515" s="1302" t="s">
        <v>54</v>
      </c>
      <c r="D515" s="1303">
        <v>1</v>
      </c>
      <c r="E515" s="1006">
        <f>C523</f>
        <v>3.18</v>
      </c>
      <c r="F515" s="265">
        <f>TRUNC(D515*E515,2)</f>
        <v>3.18</v>
      </c>
    </row>
    <row r="516" spans="1:6" ht="15.75" thickBot="1">
      <c r="A516" s="1142"/>
      <c r="B516" s="1143"/>
      <c r="C516" s="1144"/>
      <c r="D516" s="1145"/>
      <c r="E516" s="1046" t="s">
        <v>58</v>
      </c>
      <c r="F516" s="1161">
        <f>SUM(F515:F515)</f>
        <v>3.18</v>
      </c>
    </row>
    <row r="517" spans="1:6" ht="15.75" thickBot="1">
      <c r="A517" s="88"/>
      <c r="B517" s="2048" t="s">
        <v>53</v>
      </c>
      <c r="C517" s="2048"/>
      <c r="D517" s="2048"/>
      <c r="E517" s="2048"/>
      <c r="F517" s="268">
        <f>F513+F516</f>
        <v>10.16</v>
      </c>
    </row>
    <row r="518" spans="1:6">
      <c r="A518" s="89"/>
      <c r="B518" s="1983" t="s">
        <v>2430</v>
      </c>
      <c r="C518" s="1984"/>
      <c r="D518" s="1984"/>
      <c r="E518" s="1985"/>
      <c r="F518" s="90"/>
    </row>
    <row r="519" spans="1:6" ht="25.5">
      <c r="A519" s="1275" t="s">
        <v>59</v>
      </c>
      <c r="B519" s="1276" t="s">
        <v>97</v>
      </c>
      <c r="C519" s="1277" t="s">
        <v>98</v>
      </c>
      <c r="D519" s="1975" t="s">
        <v>60</v>
      </c>
      <c r="E519" s="1975"/>
      <c r="F519" s="76" t="s">
        <v>99</v>
      </c>
    </row>
    <row r="520" spans="1:6">
      <c r="A520" s="1255">
        <v>44859</v>
      </c>
      <c r="B520" s="1256" t="s">
        <v>2312</v>
      </c>
      <c r="C520" s="1257">
        <v>5.46</v>
      </c>
      <c r="D520" s="1962" t="s">
        <v>2313</v>
      </c>
      <c r="E520" s="1963"/>
      <c r="F520" s="1291" t="s">
        <v>2376</v>
      </c>
    </row>
    <row r="521" spans="1:6">
      <c r="A521" s="1255">
        <v>44859</v>
      </c>
      <c r="B521" s="1256" t="s">
        <v>2289</v>
      </c>
      <c r="C521" s="1257">
        <v>1.37</v>
      </c>
      <c r="D521" s="1962" t="s">
        <v>2290</v>
      </c>
      <c r="E521" s="1963"/>
      <c r="F521" s="1291" t="s">
        <v>2147</v>
      </c>
    </row>
    <row r="522" spans="1:6">
      <c r="A522" s="1255">
        <v>44869</v>
      </c>
      <c r="B522" s="1256" t="s">
        <v>2350</v>
      </c>
      <c r="C522" s="1257">
        <v>3.18</v>
      </c>
      <c r="D522" s="1962" t="s">
        <v>2351</v>
      </c>
      <c r="E522" s="1963"/>
      <c r="F522" s="1291" t="s">
        <v>2199</v>
      </c>
    </row>
    <row r="523" spans="1:6" ht="15.75" thickBot="1">
      <c r="A523" s="63"/>
      <c r="B523" s="1511" t="s">
        <v>61</v>
      </c>
      <c r="C523" s="1514">
        <f>MEDIAN(C520:C522)</f>
        <v>3.18</v>
      </c>
      <c r="D523" s="2030"/>
      <c r="E523" s="2031"/>
      <c r="F523" s="65"/>
    </row>
    <row r="524" spans="1:6" ht="15.75" thickBot="1">
      <c r="A524" s="170"/>
      <c r="B524" s="1484"/>
      <c r="C524" s="460"/>
      <c r="D524" s="95"/>
      <c r="E524" s="95"/>
      <c r="F524" s="170"/>
    </row>
    <row r="525" spans="1:6">
      <c r="A525" s="230" t="s">
        <v>2161</v>
      </c>
      <c r="B525" s="503" t="s">
        <v>2158</v>
      </c>
      <c r="C525" s="71" t="s">
        <v>55</v>
      </c>
      <c r="D525" s="504"/>
      <c r="E525" s="504"/>
      <c r="F525" s="505"/>
    </row>
    <row r="526" spans="1:6">
      <c r="A526" s="2053" t="s">
        <v>1636</v>
      </c>
      <c r="B526" s="2054"/>
      <c r="C526" s="2054"/>
      <c r="D526" s="2054"/>
      <c r="E526" s="2054"/>
      <c r="F526" s="2055"/>
    </row>
    <row r="527" spans="1:6" ht="30">
      <c r="A527" s="1499"/>
      <c r="B527" s="1500" t="s">
        <v>48</v>
      </c>
      <c r="C527" s="1501" t="s">
        <v>49</v>
      </c>
      <c r="D527" s="1502" t="s">
        <v>50</v>
      </c>
      <c r="E527" s="1503" t="s">
        <v>51</v>
      </c>
      <c r="F527" s="30" t="s">
        <v>52</v>
      </c>
    </row>
    <row r="528" spans="1:6">
      <c r="A528" s="1546">
        <v>88264</v>
      </c>
      <c r="B528" s="1504" t="s">
        <v>94</v>
      </c>
      <c r="C528" s="1302" t="s">
        <v>57</v>
      </c>
      <c r="D528" s="1442">
        <v>0.3523</v>
      </c>
      <c r="E528" s="1287">
        <v>25.54</v>
      </c>
      <c r="F528" s="265">
        <f>TRUNC(D528*E528,2)</f>
        <v>8.99</v>
      </c>
    </row>
    <row r="529" spans="1:6" ht="25.5">
      <c r="A529" s="1547">
        <v>88247</v>
      </c>
      <c r="B529" s="1504" t="s">
        <v>93</v>
      </c>
      <c r="C529" s="1302" t="s">
        <v>57</v>
      </c>
      <c r="D529" s="1442">
        <v>0.3523</v>
      </c>
      <c r="E529" s="1006">
        <v>21</v>
      </c>
      <c r="F529" s="265">
        <f>TRUNC(D529*E529,2)</f>
        <v>7.39</v>
      </c>
    </row>
    <row r="530" spans="1:6">
      <c r="A530" s="1505"/>
      <c r="B530" s="1506"/>
      <c r="C530" s="1507"/>
      <c r="D530" s="1508"/>
      <c r="E530" s="1046" t="s">
        <v>58</v>
      </c>
      <c r="F530" s="266">
        <f>SUM(F528:F529)</f>
        <v>16.38</v>
      </c>
    </row>
    <row r="531" spans="1:6" ht="30">
      <c r="A531" s="1515"/>
      <c r="B531" s="986" t="s">
        <v>95</v>
      </c>
      <c r="C531" s="1439" t="s">
        <v>49</v>
      </c>
      <c r="D531" s="1440" t="s">
        <v>50</v>
      </c>
      <c r="E531" s="1276" t="s">
        <v>62</v>
      </c>
      <c r="F531" s="38" t="s">
        <v>52</v>
      </c>
    </row>
    <row r="532" spans="1:6">
      <c r="A532" s="1305">
        <v>39331</v>
      </c>
      <c r="B532" s="1256" t="s">
        <v>2167</v>
      </c>
      <c r="C532" s="1302" t="s">
        <v>55</v>
      </c>
      <c r="D532" s="1303">
        <v>1</v>
      </c>
      <c r="E532" s="1006">
        <v>10.17</v>
      </c>
      <c r="F532" s="265">
        <f>TRUNC(D532*E532,2)</f>
        <v>10.17</v>
      </c>
    </row>
    <row r="533" spans="1:6" ht="39" thickBot="1">
      <c r="A533" s="970">
        <v>11950</v>
      </c>
      <c r="B533" s="1254" t="s">
        <v>2168</v>
      </c>
      <c r="C533" s="1560" t="s">
        <v>55</v>
      </c>
      <c r="D533" s="1561">
        <v>2</v>
      </c>
      <c r="E533" s="1288">
        <v>0.2</v>
      </c>
      <c r="F533" s="1158">
        <f>TRUNC(D533*E533,2)</f>
        <v>0.4</v>
      </c>
    </row>
    <row r="534" spans="1:6">
      <c r="A534" s="1214"/>
      <c r="B534" s="1215"/>
      <c r="C534" s="1147"/>
      <c r="D534" s="1148"/>
      <c r="E534" s="985" t="s">
        <v>58</v>
      </c>
      <c r="F534" s="1216">
        <f>SUM(F532:F533)</f>
        <v>10.57</v>
      </c>
    </row>
    <row r="535" spans="1:6" ht="15.75" thickBot="1">
      <c r="A535" s="1555"/>
      <c r="B535" s="2052" t="s">
        <v>53</v>
      </c>
      <c r="C535" s="2052"/>
      <c r="D535" s="2052"/>
      <c r="E535" s="2052"/>
      <c r="F535" s="1047">
        <f>F530+F534</f>
        <v>26.95</v>
      </c>
    </row>
    <row r="536" spans="1:6" ht="15.75" thickBot="1">
      <c r="A536" s="170"/>
      <c r="B536" s="1484"/>
      <c r="C536" s="460"/>
      <c r="D536" s="95"/>
      <c r="E536" s="95"/>
      <c r="F536" s="170"/>
    </row>
    <row r="537" spans="1:6">
      <c r="A537" s="230" t="s">
        <v>2163</v>
      </c>
      <c r="B537" s="503" t="s">
        <v>2160</v>
      </c>
      <c r="C537" s="71" t="s">
        <v>55</v>
      </c>
      <c r="D537" s="504"/>
      <c r="E537" s="504"/>
      <c r="F537" s="505"/>
    </row>
    <row r="538" spans="1:6">
      <c r="A538" s="2053" t="s">
        <v>1636</v>
      </c>
      <c r="B538" s="2054"/>
      <c r="C538" s="2054"/>
      <c r="D538" s="2054"/>
      <c r="E538" s="2054"/>
      <c r="F538" s="2055"/>
    </row>
    <row r="539" spans="1:6" ht="30">
      <c r="A539" s="1499"/>
      <c r="B539" s="1500" t="s">
        <v>48</v>
      </c>
      <c r="C539" s="1501" t="s">
        <v>49</v>
      </c>
      <c r="D539" s="1502" t="s">
        <v>50</v>
      </c>
      <c r="E539" s="1503" t="s">
        <v>51</v>
      </c>
      <c r="F539" s="30" t="s">
        <v>52</v>
      </c>
    </row>
    <row r="540" spans="1:6">
      <c r="A540" s="1546">
        <v>88264</v>
      </c>
      <c r="B540" s="1504" t="s">
        <v>94</v>
      </c>
      <c r="C540" s="1302" t="s">
        <v>57</v>
      </c>
      <c r="D540" s="1442">
        <v>0.3523</v>
      </c>
      <c r="E540" s="1287">
        <v>25.54</v>
      </c>
      <c r="F540" s="265">
        <f>TRUNC(D540*E540,2)</f>
        <v>8.99</v>
      </c>
    </row>
    <row r="541" spans="1:6" ht="25.5">
      <c r="A541" s="1547">
        <v>88247</v>
      </c>
      <c r="B541" s="1504" t="s">
        <v>93</v>
      </c>
      <c r="C541" s="1302" t="s">
        <v>57</v>
      </c>
      <c r="D541" s="1442">
        <v>0.3523</v>
      </c>
      <c r="E541" s="1006">
        <v>21</v>
      </c>
      <c r="F541" s="265">
        <f>TRUNC(D541*E541,2)</f>
        <v>7.39</v>
      </c>
    </row>
    <row r="542" spans="1:6">
      <c r="A542" s="1505"/>
      <c r="B542" s="1506"/>
      <c r="C542" s="1507"/>
      <c r="D542" s="1508"/>
      <c r="E542" s="1046" t="s">
        <v>58</v>
      </c>
      <c r="F542" s="266">
        <f>SUM(F540:F541)</f>
        <v>16.38</v>
      </c>
    </row>
    <row r="543" spans="1:6" ht="30">
      <c r="A543" s="1515"/>
      <c r="B543" s="986" t="s">
        <v>95</v>
      </c>
      <c r="C543" s="1439" t="s">
        <v>49</v>
      </c>
      <c r="D543" s="1440" t="s">
        <v>50</v>
      </c>
      <c r="E543" s="1276" t="s">
        <v>62</v>
      </c>
      <c r="F543" s="38" t="s">
        <v>52</v>
      </c>
    </row>
    <row r="544" spans="1:6">
      <c r="A544" s="1301">
        <v>12020</v>
      </c>
      <c r="B544" s="1256" t="s">
        <v>2209</v>
      </c>
      <c r="C544" s="1302" t="s">
        <v>55</v>
      </c>
      <c r="D544" s="1303">
        <v>1</v>
      </c>
      <c r="E544" s="1006">
        <v>11.45</v>
      </c>
      <c r="F544" s="265">
        <f>TRUNC(D544*E544,2)</f>
        <v>11.45</v>
      </c>
    </row>
    <row r="545" spans="1:6" ht="38.25">
      <c r="A545" s="1305">
        <v>11950</v>
      </c>
      <c r="B545" s="1256" t="s">
        <v>2168</v>
      </c>
      <c r="C545" s="1302" t="s">
        <v>55</v>
      </c>
      <c r="D545" s="1303">
        <v>2</v>
      </c>
      <c r="E545" s="1287">
        <v>0.2</v>
      </c>
      <c r="F545" s="265">
        <f>TRUNC(D545*E545,2)</f>
        <v>0.4</v>
      </c>
    </row>
    <row r="546" spans="1:6">
      <c r="A546" s="1554"/>
      <c r="B546" s="1516"/>
      <c r="C546" s="1507"/>
      <c r="D546" s="1508"/>
      <c r="E546" s="1562" t="s">
        <v>58</v>
      </c>
      <c r="F546" s="216">
        <f>SUM(F544:F545)</f>
        <v>11.85</v>
      </c>
    </row>
    <row r="547" spans="1:6" ht="15.75" thickBot="1">
      <c r="A547" s="1555"/>
      <c r="B547" s="2052" t="s">
        <v>53</v>
      </c>
      <c r="C547" s="2052"/>
      <c r="D547" s="2052"/>
      <c r="E547" s="2052"/>
      <c r="F547" s="1047">
        <f>F542+F546</f>
        <v>28.229999999999997</v>
      </c>
    </row>
    <row r="548" spans="1:6" ht="15.75" thickBot="1">
      <c r="A548" s="170"/>
      <c r="B548" s="1484"/>
      <c r="C548" s="460"/>
      <c r="D548" s="95"/>
      <c r="E548" s="95"/>
      <c r="F548" s="170"/>
    </row>
    <row r="549" spans="1:6">
      <c r="A549" s="230" t="s">
        <v>2165</v>
      </c>
      <c r="B549" s="503" t="s">
        <v>2162</v>
      </c>
      <c r="C549" s="71" t="s">
        <v>55</v>
      </c>
      <c r="D549" s="504"/>
      <c r="E549" s="504"/>
      <c r="F549" s="505"/>
    </row>
    <row r="550" spans="1:6">
      <c r="A550" s="2053" t="s">
        <v>1636</v>
      </c>
      <c r="B550" s="2054"/>
      <c r="C550" s="2054"/>
      <c r="D550" s="2054"/>
      <c r="E550" s="2054"/>
      <c r="F550" s="2055"/>
    </row>
    <row r="551" spans="1:6" ht="30">
      <c r="A551" s="1499"/>
      <c r="B551" s="1500" t="s">
        <v>48</v>
      </c>
      <c r="C551" s="1501" t="s">
        <v>49</v>
      </c>
      <c r="D551" s="1502" t="s">
        <v>50</v>
      </c>
      <c r="E551" s="1503" t="s">
        <v>51</v>
      </c>
      <c r="F551" s="30" t="s">
        <v>52</v>
      </c>
    </row>
    <row r="552" spans="1:6">
      <c r="A552" s="1546">
        <v>88264</v>
      </c>
      <c r="B552" s="1504" t="s">
        <v>94</v>
      </c>
      <c r="C552" s="1302" t="s">
        <v>57</v>
      </c>
      <c r="D552" s="1442">
        <v>0.3523</v>
      </c>
      <c r="E552" s="1287">
        <v>25.54</v>
      </c>
      <c r="F552" s="265">
        <f>TRUNC(D552*E552,2)</f>
        <v>8.99</v>
      </c>
    </row>
    <row r="553" spans="1:6" ht="25.5">
      <c r="A553" s="1547">
        <v>88247</v>
      </c>
      <c r="B553" s="1504" t="s">
        <v>93</v>
      </c>
      <c r="C553" s="1302" t="s">
        <v>57</v>
      </c>
      <c r="D553" s="1442">
        <v>0.3523</v>
      </c>
      <c r="E553" s="1006">
        <v>21</v>
      </c>
      <c r="F553" s="265">
        <f>TRUNC(D553*E553,2)</f>
        <v>7.39</v>
      </c>
    </row>
    <row r="554" spans="1:6">
      <c r="A554" s="1505"/>
      <c r="B554" s="1506"/>
      <c r="C554" s="1507"/>
      <c r="D554" s="1508"/>
      <c r="E554" s="1046" t="s">
        <v>58</v>
      </c>
      <c r="F554" s="266">
        <f>SUM(F552:F553)</f>
        <v>16.38</v>
      </c>
    </row>
    <row r="555" spans="1:6" ht="30">
      <c r="A555" s="1515"/>
      <c r="B555" s="986" t="s">
        <v>95</v>
      </c>
      <c r="C555" s="1439" t="s">
        <v>49</v>
      </c>
      <c r="D555" s="1440" t="s">
        <v>50</v>
      </c>
      <c r="E555" s="1276" t="s">
        <v>62</v>
      </c>
      <c r="F555" s="38" t="s">
        <v>52</v>
      </c>
    </row>
    <row r="556" spans="1:6">
      <c r="A556" s="1301">
        <v>39337</v>
      </c>
      <c r="B556" s="1256" t="s">
        <v>2169</v>
      </c>
      <c r="C556" s="1302" t="s">
        <v>55</v>
      </c>
      <c r="D556" s="1303">
        <v>1</v>
      </c>
      <c r="E556" s="1006">
        <v>10.17</v>
      </c>
      <c r="F556" s="265">
        <f>TRUNC(D556*E556,2)</f>
        <v>10.17</v>
      </c>
    </row>
    <row r="557" spans="1:6" ht="38.25">
      <c r="A557" s="1305">
        <v>11950</v>
      </c>
      <c r="B557" s="1256" t="s">
        <v>2168</v>
      </c>
      <c r="C557" s="1302" t="s">
        <v>55</v>
      </c>
      <c r="D557" s="1303">
        <v>2</v>
      </c>
      <c r="E557" s="1287">
        <v>0.2</v>
      </c>
      <c r="F557" s="265">
        <f>TRUNC(D557*E557,2)</f>
        <v>0.4</v>
      </c>
    </row>
    <row r="558" spans="1:6">
      <c r="A558" s="1554"/>
      <c r="B558" s="1516"/>
      <c r="C558" s="1507"/>
      <c r="D558" s="1508"/>
      <c r="E558" s="1562" t="s">
        <v>58</v>
      </c>
      <c r="F558" s="216">
        <f>SUM(F556:F557)</f>
        <v>10.57</v>
      </c>
    </row>
    <row r="559" spans="1:6" ht="15.75" thickBot="1">
      <c r="A559" s="1555"/>
      <c r="B559" s="2052" t="s">
        <v>53</v>
      </c>
      <c r="C559" s="2052"/>
      <c r="D559" s="2052"/>
      <c r="E559" s="2052"/>
      <c r="F559" s="1047">
        <f>F554+F558</f>
        <v>26.95</v>
      </c>
    </row>
    <row r="560" spans="1:6" ht="15.75" thickBot="1">
      <c r="A560" s="289"/>
      <c r="B560" s="483"/>
      <c r="C560" s="483"/>
      <c r="D560" s="483"/>
      <c r="E560" s="483"/>
      <c r="F560" s="484"/>
    </row>
    <row r="561" spans="1:6">
      <c r="A561" s="230" t="s">
        <v>2207</v>
      </c>
      <c r="B561" s="503" t="s">
        <v>2164</v>
      </c>
      <c r="C561" s="71" t="s">
        <v>55</v>
      </c>
      <c r="D561" s="504"/>
      <c r="E561" s="504"/>
      <c r="F561" s="505"/>
    </row>
    <row r="562" spans="1:6">
      <c r="A562" s="2053" t="s">
        <v>1636</v>
      </c>
      <c r="B562" s="2054"/>
      <c r="C562" s="2054"/>
      <c r="D562" s="2054"/>
      <c r="E562" s="2054"/>
      <c r="F562" s="2055"/>
    </row>
    <row r="563" spans="1:6" ht="30">
      <c r="A563" s="1499"/>
      <c r="B563" s="1500" t="s">
        <v>48</v>
      </c>
      <c r="C563" s="1501" t="s">
        <v>49</v>
      </c>
      <c r="D563" s="1502" t="s">
        <v>50</v>
      </c>
      <c r="E563" s="1503" t="s">
        <v>51</v>
      </c>
      <c r="F563" s="30" t="s">
        <v>52</v>
      </c>
    </row>
    <row r="564" spans="1:6">
      <c r="A564" s="1546">
        <v>88264</v>
      </c>
      <c r="B564" s="1504" t="s">
        <v>94</v>
      </c>
      <c r="C564" s="1302" t="s">
        <v>57</v>
      </c>
      <c r="D564" s="1442">
        <v>0.3523</v>
      </c>
      <c r="E564" s="1287">
        <v>25.54</v>
      </c>
      <c r="F564" s="265">
        <f>TRUNC(D564*E564,2)</f>
        <v>8.99</v>
      </c>
    </row>
    <row r="565" spans="1:6" ht="25.5">
      <c r="A565" s="1547">
        <v>88247</v>
      </c>
      <c r="B565" s="1504" t="s">
        <v>93</v>
      </c>
      <c r="C565" s="1302" t="s">
        <v>57</v>
      </c>
      <c r="D565" s="1442">
        <v>0.3523</v>
      </c>
      <c r="E565" s="1006">
        <v>21</v>
      </c>
      <c r="F565" s="265">
        <f>TRUNC(D565*E565,2)</f>
        <v>7.39</v>
      </c>
    </row>
    <row r="566" spans="1:6">
      <c r="A566" s="1505"/>
      <c r="B566" s="1506"/>
      <c r="C566" s="1507"/>
      <c r="D566" s="1508"/>
      <c r="E566" s="1046" t="s">
        <v>58</v>
      </c>
      <c r="F566" s="266">
        <f>SUM(F564:F565)</f>
        <v>16.38</v>
      </c>
    </row>
    <row r="567" spans="1:6" ht="30">
      <c r="A567" s="1515"/>
      <c r="B567" s="986" t="s">
        <v>95</v>
      </c>
      <c r="C567" s="1439" t="s">
        <v>49</v>
      </c>
      <c r="D567" s="1440" t="s">
        <v>50</v>
      </c>
      <c r="E567" s="1276" t="s">
        <v>62</v>
      </c>
      <c r="F567" s="38" t="s">
        <v>52</v>
      </c>
    </row>
    <row r="568" spans="1:6">
      <c r="A568" s="1305">
        <v>39338</v>
      </c>
      <c r="B568" s="1256" t="s">
        <v>2170</v>
      </c>
      <c r="C568" s="1302" t="s">
        <v>55</v>
      </c>
      <c r="D568" s="1303">
        <v>1</v>
      </c>
      <c r="E568" s="1006">
        <v>12.78</v>
      </c>
      <c r="F568" s="265">
        <f>TRUNC(D568*E568,2)</f>
        <v>12.78</v>
      </c>
    </row>
    <row r="569" spans="1:6" ht="38.25">
      <c r="A569" s="1305">
        <v>11950</v>
      </c>
      <c r="B569" s="1256" t="s">
        <v>2168</v>
      </c>
      <c r="C569" s="1302" t="s">
        <v>55</v>
      </c>
      <c r="D569" s="1303">
        <v>2</v>
      </c>
      <c r="E569" s="1287">
        <v>0.2</v>
      </c>
      <c r="F569" s="265">
        <f>TRUNC(D569*E569,2)</f>
        <v>0.4</v>
      </c>
    </row>
    <row r="570" spans="1:6">
      <c r="A570" s="1554"/>
      <c r="B570" s="1516"/>
      <c r="C570" s="1507"/>
      <c r="D570" s="1508"/>
      <c r="E570" s="1562" t="s">
        <v>58</v>
      </c>
      <c r="F570" s="216">
        <f>SUM(F568:F569)</f>
        <v>13.18</v>
      </c>
    </row>
    <row r="571" spans="1:6" ht="15.75" thickBot="1">
      <c r="A571" s="1555"/>
      <c r="B571" s="2052" t="s">
        <v>53</v>
      </c>
      <c r="C571" s="2052"/>
      <c r="D571" s="2052"/>
      <c r="E571" s="2052"/>
      <c r="F571" s="1047">
        <f>F566+F570</f>
        <v>29.56</v>
      </c>
    </row>
    <row r="572" spans="1:6" ht="15.75" thickBot="1">
      <c r="A572" s="289"/>
      <c r="B572" s="483"/>
      <c r="C572" s="483"/>
      <c r="D572" s="483"/>
      <c r="E572" s="483"/>
      <c r="F572" s="484"/>
    </row>
    <row r="573" spans="1:6">
      <c r="A573" s="230" t="s">
        <v>2208</v>
      </c>
      <c r="B573" s="503" t="s">
        <v>2166</v>
      </c>
      <c r="C573" s="71" t="s">
        <v>55</v>
      </c>
      <c r="D573" s="504"/>
      <c r="E573" s="504"/>
      <c r="F573" s="505"/>
    </row>
    <row r="574" spans="1:6">
      <c r="A574" s="2053" t="s">
        <v>1636</v>
      </c>
      <c r="B574" s="2054"/>
      <c r="C574" s="2054"/>
      <c r="D574" s="2054"/>
      <c r="E574" s="2054"/>
      <c r="F574" s="2055"/>
    </row>
    <row r="575" spans="1:6" ht="30">
      <c r="A575" s="1499"/>
      <c r="B575" s="1500" t="s">
        <v>48</v>
      </c>
      <c r="C575" s="1501" t="s">
        <v>49</v>
      </c>
      <c r="D575" s="1502" t="s">
        <v>50</v>
      </c>
      <c r="E575" s="1503" t="s">
        <v>51</v>
      </c>
      <c r="F575" s="30" t="s">
        <v>52</v>
      </c>
    </row>
    <row r="576" spans="1:6">
      <c r="A576" s="1546">
        <v>88264</v>
      </c>
      <c r="B576" s="1504" t="s">
        <v>94</v>
      </c>
      <c r="C576" s="1302" t="s">
        <v>57</v>
      </c>
      <c r="D576" s="1442">
        <v>0.3523</v>
      </c>
      <c r="E576" s="1287">
        <v>25.54</v>
      </c>
      <c r="F576" s="265">
        <f>TRUNC(D576*E576,2)</f>
        <v>8.99</v>
      </c>
    </row>
    <row r="577" spans="1:6" ht="25.5">
      <c r="A577" s="1547">
        <v>88247</v>
      </c>
      <c r="B577" s="1504" t="s">
        <v>93</v>
      </c>
      <c r="C577" s="1302" t="s">
        <v>57</v>
      </c>
      <c r="D577" s="1442">
        <v>0.3523</v>
      </c>
      <c r="E577" s="1006">
        <v>21</v>
      </c>
      <c r="F577" s="265">
        <f>TRUNC(D577*E577,2)</f>
        <v>7.39</v>
      </c>
    </row>
    <row r="578" spans="1:6">
      <c r="A578" s="1505"/>
      <c r="B578" s="1506"/>
      <c r="C578" s="1507"/>
      <c r="D578" s="1508"/>
      <c r="E578" s="1046" t="s">
        <v>58</v>
      </c>
      <c r="F578" s="266">
        <f>SUM(F576:F577)</f>
        <v>16.38</v>
      </c>
    </row>
    <row r="579" spans="1:6" ht="30">
      <c r="A579" s="1515"/>
      <c r="B579" s="986" t="s">
        <v>95</v>
      </c>
      <c r="C579" s="1439" t="s">
        <v>49</v>
      </c>
      <c r="D579" s="1440" t="s">
        <v>50</v>
      </c>
      <c r="E579" s="1276" t="s">
        <v>62</v>
      </c>
      <c r="F579" s="38" t="s">
        <v>52</v>
      </c>
    </row>
    <row r="580" spans="1:6">
      <c r="A580" s="1305">
        <v>39341</v>
      </c>
      <c r="B580" s="1563" t="s">
        <v>2431</v>
      </c>
      <c r="C580" s="1302" t="s">
        <v>55</v>
      </c>
      <c r="D580" s="1303">
        <v>1</v>
      </c>
      <c r="E580" s="1006">
        <v>16.66</v>
      </c>
      <c r="F580" s="265">
        <f>TRUNC(D580*E580,2)</f>
        <v>16.66</v>
      </c>
    </row>
    <row r="581" spans="1:6" ht="38.25">
      <c r="A581" s="1305">
        <v>11950</v>
      </c>
      <c r="B581" s="1256" t="s">
        <v>2168</v>
      </c>
      <c r="C581" s="1302" t="s">
        <v>55</v>
      </c>
      <c r="D581" s="1303">
        <v>2</v>
      </c>
      <c r="E581" s="1287">
        <v>0.2</v>
      </c>
      <c r="F581" s="265">
        <f>TRUNC(D581*E581,2)</f>
        <v>0.4</v>
      </c>
    </row>
    <row r="582" spans="1:6">
      <c r="A582" s="1554"/>
      <c r="B582" s="1516"/>
      <c r="C582" s="1507"/>
      <c r="D582" s="1508"/>
      <c r="E582" s="1562" t="s">
        <v>58</v>
      </c>
      <c r="F582" s="216">
        <f>SUM(F580:F581)</f>
        <v>17.059999999999999</v>
      </c>
    </row>
    <row r="583" spans="1:6" ht="15.75" thickBot="1">
      <c r="A583" s="1555"/>
      <c r="B583" s="2052" t="s">
        <v>53</v>
      </c>
      <c r="C583" s="2052"/>
      <c r="D583" s="2052"/>
      <c r="E583" s="2052"/>
      <c r="F583" s="1047">
        <f>F578+F582</f>
        <v>33.44</v>
      </c>
    </row>
  </sheetData>
  <mergeCells count="215">
    <mergeCell ref="B559:E559"/>
    <mergeCell ref="A562:F562"/>
    <mergeCell ref="B571:E571"/>
    <mergeCell ref="A574:F574"/>
    <mergeCell ref="B583:E583"/>
    <mergeCell ref="A7:F7"/>
    <mergeCell ref="D523:E523"/>
    <mergeCell ref="A526:F526"/>
    <mergeCell ref="B535:E535"/>
    <mergeCell ref="A538:F538"/>
    <mergeCell ref="B547:E547"/>
    <mergeCell ref="A550:F550"/>
    <mergeCell ref="B517:E517"/>
    <mergeCell ref="B518:E518"/>
    <mergeCell ref="D519:E519"/>
    <mergeCell ref="D520:E520"/>
    <mergeCell ref="D521:E521"/>
    <mergeCell ref="D522:E522"/>
    <mergeCell ref="D502:E502"/>
    <mergeCell ref="D503:E503"/>
    <mergeCell ref="D504:E504"/>
    <mergeCell ref="D505:E505"/>
    <mergeCell ref="D506:E506"/>
    <mergeCell ref="A509:F509"/>
    <mergeCell ref="D477:E477"/>
    <mergeCell ref="A480:F480"/>
    <mergeCell ref="B488:E488"/>
    <mergeCell ref="A491:F491"/>
    <mergeCell ref="B500:E500"/>
    <mergeCell ref="B501:E501"/>
    <mergeCell ref="B471:E471"/>
    <mergeCell ref="B472:E472"/>
    <mergeCell ref="D473:E473"/>
    <mergeCell ref="D474:E474"/>
    <mergeCell ref="D475:E475"/>
    <mergeCell ref="D476:E476"/>
    <mergeCell ref="D434:E434"/>
    <mergeCell ref="A437:F437"/>
    <mergeCell ref="B446:E446"/>
    <mergeCell ref="A449:F449"/>
    <mergeCell ref="B458:E458"/>
    <mergeCell ref="A461:F461"/>
    <mergeCell ref="B428:E428"/>
    <mergeCell ref="B429:E429"/>
    <mergeCell ref="D430:E430"/>
    <mergeCell ref="D431:E431"/>
    <mergeCell ref="D432:E432"/>
    <mergeCell ref="D433:E433"/>
    <mergeCell ref="D411:E411"/>
    <mergeCell ref="D412:E412"/>
    <mergeCell ref="D413:E413"/>
    <mergeCell ref="D414:E414"/>
    <mergeCell ref="D415:E415"/>
    <mergeCell ref="A418:F418"/>
    <mergeCell ref="D396:E396"/>
    <mergeCell ref="D397:E397"/>
    <mergeCell ref="D398:E398"/>
    <mergeCell ref="A401:F401"/>
    <mergeCell ref="B409:E409"/>
    <mergeCell ref="B410:E410"/>
    <mergeCell ref="B381:E381"/>
    <mergeCell ref="A384:F384"/>
    <mergeCell ref="B392:E392"/>
    <mergeCell ref="B393:E393"/>
    <mergeCell ref="D394:E394"/>
    <mergeCell ref="D395:E395"/>
    <mergeCell ref="D366:E366"/>
    <mergeCell ref="D367:E367"/>
    <mergeCell ref="D368:E368"/>
    <mergeCell ref="D369:E369"/>
    <mergeCell ref="D370:E370"/>
    <mergeCell ref="A373:F373"/>
    <mergeCell ref="D342:E342"/>
    <mergeCell ref="A345:F345"/>
    <mergeCell ref="B353:E353"/>
    <mergeCell ref="A356:F356"/>
    <mergeCell ref="B364:E364"/>
    <mergeCell ref="B365:E365"/>
    <mergeCell ref="B336:E336"/>
    <mergeCell ref="B337:E337"/>
    <mergeCell ref="D338:E338"/>
    <mergeCell ref="D339:E339"/>
    <mergeCell ref="D340:E340"/>
    <mergeCell ref="D341:E341"/>
    <mergeCell ref="D321:E321"/>
    <mergeCell ref="D322:E322"/>
    <mergeCell ref="D323:E323"/>
    <mergeCell ref="D324:E324"/>
    <mergeCell ref="D325:E325"/>
    <mergeCell ref="A328:F328"/>
    <mergeCell ref="D296:E296"/>
    <mergeCell ref="A299:F299"/>
    <mergeCell ref="B308:E308"/>
    <mergeCell ref="A311:F311"/>
    <mergeCell ref="B319:E319"/>
    <mergeCell ref="B320:E320"/>
    <mergeCell ref="B290:E290"/>
    <mergeCell ref="B291:E291"/>
    <mergeCell ref="D292:E292"/>
    <mergeCell ref="D293:E293"/>
    <mergeCell ref="D294:E294"/>
    <mergeCell ref="D295:E295"/>
    <mergeCell ref="D275:E275"/>
    <mergeCell ref="D276:E276"/>
    <mergeCell ref="D277:E277"/>
    <mergeCell ref="D278:E278"/>
    <mergeCell ref="D279:E279"/>
    <mergeCell ref="A282:F282"/>
    <mergeCell ref="D260:E260"/>
    <mergeCell ref="D261:E261"/>
    <mergeCell ref="D262:E262"/>
    <mergeCell ref="A265:F265"/>
    <mergeCell ref="B273:E273"/>
    <mergeCell ref="B274:E274"/>
    <mergeCell ref="B245:E245"/>
    <mergeCell ref="A248:F248"/>
    <mergeCell ref="B256:E256"/>
    <mergeCell ref="B257:E257"/>
    <mergeCell ref="D258:E258"/>
    <mergeCell ref="D259:E259"/>
    <mergeCell ref="B204:E204"/>
    <mergeCell ref="A207:F207"/>
    <mergeCell ref="B223:E223"/>
    <mergeCell ref="A226:F226"/>
    <mergeCell ref="B234:E234"/>
    <mergeCell ref="A237:F237"/>
    <mergeCell ref="D181:E181"/>
    <mergeCell ref="D182:E182"/>
    <mergeCell ref="D183:E183"/>
    <mergeCell ref="A186:F186"/>
    <mergeCell ref="B194:E194"/>
    <mergeCell ref="A197:F197"/>
    <mergeCell ref="D166:E166"/>
    <mergeCell ref="A169:F169"/>
    <mergeCell ref="B177:E177"/>
    <mergeCell ref="B178:E178"/>
    <mergeCell ref="D179:E179"/>
    <mergeCell ref="D180:E180"/>
    <mergeCell ref="D160:E160"/>
    <mergeCell ref="B161:E161"/>
    <mergeCell ref="D162:E162"/>
    <mergeCell ref="D163:E163"/>
    <mergeCell ref="D164:E164"/>
    <mergeCell ref="D165:E165"/>
    <mergeCell ref="D154:E154"/>
    <mergeCell ref="B155:E155"/>
    <mergeCell ref="D156:E156"/>
    <mergeCell ref="D157:E157"/>
    <mergeCell ref="D158:E158"/>
    <mergeCell ref="D159:E159"/>
    <mergeCell ref="B148:E148"/>
    <mergeCell ref="B149:E149"/>
    <mergeCell ref="D150:E150"/>
    <mergeCell ref="D151:E151"/>
    <mergeCell ref="D152:E152"/>
    <mergeCell ref="D153:E153"/>
    <mergeCell ref="D130:E130"/>
    <mergeCell ref="D131:E131"/>
    <mergeCell ref="D132:E132"/>
    <mergeCell ref="D133:E133"/>
    <mergeCell ref="D134:E134"/>
    <mergeCell ref="A137:F137"/>
    <mergeCell ref="D115:E115"/>
    <mergeCell ref="D116:E116"/>
    <mergeCell ref="D117:E117"/>
    <mergeCell ref="A120:F120"/>
    <mergeCell ref="B128:E128"/>
    <mergeCell ref="B129:E129"/>
    <mergeCell ref="D100:E100"/>
    <mergeCell ref="A103:F103"/>
    <mergeCell ref="B111:E111"/>
    <mergeCell ref="B112:E112"/>
    <mergeCell ref="D113:E113"/>
    <mergeCell ref="D114:E114"/>
    <mergeCell ref="B94:E94"/>
    <mergeCell ref="B95:E95"/>
    <mergeCell ref="D96:E96"/>
    <mergeCell ref="D97:E97"/>
    <mergeCell ref="D98:E98"/>
    <mergeCell ref="D99:E99"/>
    <mergeCell ref="D79:E79"/>
    <mergeCell ref="D80:E80"/>
    <mergeCell ref="D81:E81"/>
    <mergeCell ref="D82:E82"/>
    <mergeCell ref="D83:E83"/>
    <mergeCell ref="A86:F86"/>
    <mergeCell ref="D64:E64"/>
    <mergeCell ref="D65:E65"/>
    <mergeCell ref="D66:E66"/>
    <mergeCell ref="A69:F69"/>
    <mergeCell ref="B77:E77"/>
    <mergeCell ref="B78:E78"/>
    <mergeCell ref="D50:E50"/>
    <mergeCell ref="A53:F53"/>
    <mergeCell ref="B60:E60"/>
    <mergeCell ref="B61:E61"/>
    <mergeCell ref="D62:E62"/>
    <mergeCell ref="D63:E63"/>
    <mergeCell ref="B44:E44"/>
    <mergeCell ref="B45:E45"/>
    <mergeCell ref="D46:E46"/>
    <mergeCell ref="D47:E47"/>
    <mergeCell ref="D48:E48"/>
    <mergeCell ref="D49:E49"/>
    <mergeCell ref="D30:E30"/>
    <mergeCell ref="D31:E31"/>
    <mergeCell ref="D32:E32"/>
    <mergeCell ref="D33:E33"/>
    <mergeCell ref="D34:E34"/>
    <mergeCell ref="A37:F37"/>
    <mergeCell ref="A9:F9"/>
    <mergeCell ref="B17:E17"/>
    <mergeCell ref="A20:F20"/>
    <mergeCell ref="B28:E28"/>
    <mergeCell ref="B29:E29"/>
  </mergeCells>
  <hyperlinks>
    <hyperlink ref="F180" r:id="rId1" xr:uid="{00000000-0004-0000-0500-000000000000}"/>
    <hyperlink ref="F276" r:id="rId2" xr:uid="{00000000-0004-0000-0500-000001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F123"/>
  <sheetViews>
    <sheetView topLeftCell="A110" workbookViewId="0">
      <selection activeCell="A115" sqref="A115:E115"/>
    </sheetView>
  </sheetViews>
  <sheetFormatPr defaultRowHeight="15"/>
  <cols>
    <col min="1" max="1" width="13.85546875" customWidth="1"/>
    <col min="2" max="2" width="60.7109375" customWidth="1"/>
    <col min="3" max="3" width="8.7109375" customWidth="1"/>
    <col min="4" max="4" width="10.5703125" customWidth="1"/>
    <col min="5" max="5" width="10.140625" customWidth="1"/>
    <col min="6" max="6" width="19.85546875" customWidth="1"/>
  </cols>
  <sheetData>
    <row r="5" spans="1:6" ht="15.75" thickBot="1"/>
    <row r="6" spans="1:6">
      <c r="A6" s="126" t="s">
        <v>0</v>
      </c>
      <c r="B6" s="59" t="str">
        <f>'PLANILHA SEM DESON'!B9:D9</f>
        <v>SEMA-PRO-2022/00145</v>
      </c>
      <c r="C6" s="59"/>
      <c r="D6" s="59"/>
      <c r="E6" s="127" t="s">
        <v>133</v>
      </c>
      <c r="F6" s="428">
        <f>'[2]PLANILHA SEM DESON'!I4</f>
        <v>0</v>
      </c>
    </row>
    <row r="7" spans="1:6">
      <c r="A7" s="104" t="s">
        <v>1</v>
      </c>
      <c r="B7" s="16" t="str">
        <f>'PLANILHA SEM DESON'!B10:C10</f>
        <v>CONSTRUÇÃO DE DIRETORIA DE UNIDADE DESCONCENTRADA DA SEMA - DUDS</v>
      </c>
      <c r="C7" s="16"/>
      <c r="D7" s="16"/>
      <c r="E7" s="16"/>
      <c r="F7" s="56"/>
    </row>
    <row r="8" spans="1:6">
      <c r="A8" s="104" t="s">
        <v>2</v>
      </c>
      <c r="B8" s="16" t="str">
        <f>'PLANILHA SEM DESON'!B11:C11</f>
        <v>RUA 24 A - JARDIM TANGARA II</v>
      </c>
      <c r="C8" s="16"/>
      <c r="D8" s="16"/>
      <c r="E8" s="16"/>
      <c r="F8" s="56"/>
    </row>
    <row r="9" spans="1:6">
      <c r="A9" s="104" t="s">
        <v>4</v>
      </c>
      <c r="B9" s="16" t="str">
        <f>'PLANILHA SEM DESON'!B12:C12</f>
        <v>TANGARÁ DA SERRA - MT</v>
      </c>
      <c r="C9" s="16"/>
      <c r="D9" s="16"/>
      <c r="E9" s="16"/>
      <c r="F9" s="56"/>
    </row>
    <row r="10" spans="1:6" ht="15.75" thickBot="1">
      <c r="A10" s="105" t="s">
        <v>5</v>
      </c>
      <c r="B10" s="1139" t="str">
        <f>'PLANILHA SEM DESON'!B13</f>
        <v xml:space="preserve">CONSTRUÇÃO </v>
      </c>
      <c r="C10" s="1139"/>
      <c r="D10" s="1139"/>
      <c r="E10" s="1139"/>
      <c r="F10" s="57"/>
    </row>
    <row r="11" spans="1:6" ht="16.5" thickBot="1">
      <c r="A11" s="2065" t="s">
        <v>2019</v>
      </c>
      <c r="B11" s="2066"/>
      <c r="C11" s="2066"/>
      <c r="D11" s="2066"/>
      <c r="E11" s="2066"/>
      <c r="F11" s="2067"/>
    </row>
    <row r="12" spans="1:6" ht="25.5">
      <c r="A12" s="1564" t="s">
        <v>451</v>
      </c>
      <c r="B12" s="424" t="s">
        <v>1205</v>
      </c>
      <c r="C12" s="369" t="s">
        <v>46</v>
      </c>
      <c r="D12" s="2063"/>
      <c r="E12" s="2064"/>
      <c r="F12" s="74"/>
    </row>
    <row r="13" spans="1:6">
      <c r="A13" s="2068" t="s">
        <v>1204</v>
      </c>
      <c r="B13" s="2069"/>
      <c r="C13" s="2069"/>
      <c r="D13" s="2069"/>
      <c r="E13" s="2069"/>
      <c r="F13" s="2002"/>
    </row>
    <row r="14" spans="1:6" ht="30">
      <c r="A14" s="1461"/>
      <c r="B14" s="1462" t="s">
        <v>56</v>
      </c>
      <c r="C14" s="1463" t="s">
        <v>49</v>
      </c>
      <c r="D14" s="1464" t="s">
        <v>50</v>
      </c>
      <c r="E14" s="1465" t="s">
        <v>62</v>
      </c>
      <c r="F14" s="370" t="s">
        <v>52</v>
      </c>
    </row>
    <row r="15" spans="1:6" ht="25.5">
      <c r="A15" s="1466">
        <v>88239</v>
      </c>
      <c r="B15" s="1509" t="s">
        <v>454</v>
      </c>
      <c r="C15" s="1302" t="s">
        <v>57</v>
      </c>
      <c r="D15" s="1298">
        <v>1.1000000000000001</v>
      </c>
      <c r="E15" s="1306">
        <v>20.55</v>
      </c>
      <c r="F15" s="371">
        <f>TRUNC((D15*E15),2)</f>
        <v>22.6</v>
      </c>
    </row>
    <row r="16" spans="1:6" ht="25.5">
      <c r="A16" s="1466">
        <v>88262</v>
      </c>
      <c r="B16" s="1509" t="s">
        <v>441</v>
      </c>
      <c r="C16" s="1302" t="s">
        <v>57</v>
      </c>
      <c r="D16" s="1298">
        <v>1.1000000000000001</v>
      </c>
      <c r="E16" s="1306">
        <v>24.32</v>
      </c>
      <c r="F16" s="371">
        <f>TRUNC((D16*E16),2)</f>
        <v>26.75</v>
      </c>
    </row>
    <row r="17" spans="1:6">
      <c r="A17" s="1468"/>
      <c r="B17" s="1469"/>
      <c r="C17" s="1470" t="s">
        <v>42</v>
      </c>
      <c r="D17" s="1471" t="s">
        <v>42</v>
      </c>
      <c r="E17" s="1472" t="s">
        <v>58</v>
      </c>
      <c r="F17" s="1565">
        <f>SUM(F15:F16)</f>
        <v>49.35</v>
      </c>
    </row>
    <row r="18" spans="1:6" ht="30">
      <c r="A18" s="1468"/>
      <c r="B18" s="1136" t="s">
        <v>95</v>
      </c>
      <c r="C18" s="1463" t="s">
        <v>49</v>
      </c>
      <c r="D18" s="1464" t="s">
        <v>50</v>
      </c>
      <c r="E18" s="1465" t="s">
        <v>62</v>
      </c>
      <c r="F18" s="370" t="s">
        <v>52</v>
      </c>
    </row>
    <row r="19" spans="1:6" ht="25.5">
      <c r="A19" s="1473">
        <v>4517</v>
      </c>
      <c r="B19" s="1256" t="s">
        <v>1731</v>
      </c>
      <c r="C19" s="1459" t="s">
        <v>54</v>
      </c>
      <c r="D19" s="1298">
        <v>1.25</v>
      </c>
      <c r="E19" s="1298">
        <v>4.08</v>
      </c>
      <c r="F19" s="371">
        <f>TRUNC((D19*E19),2)</f>
        <v>5.0999999999999996</v>
      </c>
    </row>
    <row r="20" spans="1:6" ht="25.5">
      <c r="A20" s="1473">
        <v>6189</v>
      </c>
      <c r="B20" s="1256" t="s">
        <v>1435</v>
      </c>
      <c r="C20" s="1459" t="s">
        <v>46</v>
      </c>
      <c r="D20" s="1298">
        <v>0.2</v>
      </c>
      <c r="E20" s="1298">
        <v>26.29</v>
      </c>
      <c r="F20" s="371">
        <f>TRUNC((D20*E20),2)</f>
        <v>5.25</v>
      </c>
    </row>
    <row r="21" spans="1:6" ht="25.5">
      <c r="A21" s="1473">
        <v>1346</v>
      </c>
      <c r="B21" s="1256" t="s">
        <v>1729</v>
      </c>
      <c r="C21" s="1459" t="s">
        <v>46</v>
      </c>
      <c r="D21" s="1298">
        <v>0.1</v>
      </c>
      <c r="E21" s="1298">
        <v>77.52</v>
      </c>
      <c r="F21" s="371">
        <f>TRUNC((D21*E21),2)</f>
        <v>7.75</v>
      </c>
    </row>
    <row r="22" spans="1:6">
      <c r="A22" s="1473">
        <v>5061</v>
      </c>
      <c r="B22" s="1256" t="s">
        <v>1434</v>
      </c>
      <c r="C22" s="1459" t="s">
        <v>100</v>
      </c>
      <c r="D22" s="1298">
        <v>0.7</v>
      </c>
      <c r="E22" s="1298">
        <v>25.45</v>
      </c>
      <c r="F22" s="371">
        <f>TRUNC((D22*E22),2)</f>
        <v>17.809999999999999</v>
      </c>
    </row>
    <row r="23" spans="1:6" ht="25.5">
      <c r="A23" s="1473">
        <v>2692</v>
      </c>
      <c r="B23" s="1256" t="s">
        <v>1730</v>
      </c>
      <c r="C23" s="1459" t="s">
        <v>455</v>
      </c>
      <c r="D23" s="1298">
        <v>0.01</v>
      </c>
      <c r="E23" s="1298">
        <v>8.84</v>
      </c>
      <c r="F23" s="371">
        <f>TRUNC((D23*E23),2)</f>
        <v>0.08</v>
      </c>
    </row>
    <row r="24" spans="1:6">
      <c r="A24" s="1477"/>
      <c r="B24" s="1478"/>
      <c r="C24" s="1388"/>
      <c r="D24" s="1479"/>
      <c r="E24" s="1472" t="s">
        <v>58</v>
      </c>
      <c r="F24" s="370">
        <f>SUM(F19:F23)</f>
        <v>35.989999999999995</v>
      </c>
    </row>
    <row r="25" spans="1:6" ht="15.75" thickBot="1">
      <c r="A25" s="372"/>
      <c r="B25" s="2070" t="s">
        <v>53</v>
      </c>
      <c r="C25" s="2070"/>
      <c r="D25" s="2070"/>
      <c r="E25" s="2070"/>
      <c r="F25" s="1566">
        <f>F17+F24</f>
        <v>85.34</v>
      </c>
    </row>
    <row r="26" spans="1:6" ht="15.75" thickBot="1">
      <c r="A26" s="1567"/>
      <c r="B26" s="2071"/>
      <c r="C26" s="2071"/>
      <c r="D26" s="2071"/>
      <c r="E26" s="2071"/>
      <c r="F26" s="1568"/>
    </row>
    <row r="27" spans="1:6">
      <c r="A27" s="1564" t="s">
        <v>452</v>
      </c>
      <c r="B27" s="424" t="s">
        <v>1206</v>
      </c>
      <c r="C27" s="369" t="s">
        <v>46</v>
      </c>
      <c r="D27" s="2063"/>
      <c r="E27" s="2064"/>
      <c r="F27" s="74"/>
    </row>
    <row r="28" spans="1:6">
      <c r="A28" s="2068" t="s">
        <v>1207</v>
      </c>
      <c r="B28" s="2069"/>
      <c r="C28" s="2069"/>
      <c r="D28" s="2069"/>
      <c r="E28" s="2069"/>
      <c r="F28" s="2002"/>
    </row>
    <row r="29" spans="1:6" ht="30">
      <c r="A29" s="1461"/>
      <c r="B29" s="1462" t="s">
        <v>56</v>
      </c>
      <c r="C29" s="1463" t="s">
        <v>49</v>
      </c>
      <c r="D29" s="1464" t="s">
        <v>50</v>
      </c>
      <c r="E29" s="1465" t="s">
        <v>62</v>
      </c>
      <c r="F29" s="370" t="s">
        <v>52</v>
      </c>
    </row>
    <row r="30" spans="1:6">
      <c r="A30" s="1466">
        <v>88309</v>
      </c>
      <c r="B30" s="1509" t="s">
        <v>103</v>
      </c>
      <c r="C30" s="1302" t="s">
        <v>57</v>
      </c>
      <c r="D30" s="1460">
        <v>1.0058</v>
      </c>
      <c r="E30" s="1306">
        <v>24.59</v>
      </c>
      <c r="F30" s="371">
        <f>TRUNC((D30*E30),2)</f>
        <v>24.73</v>
      </c>
    </row>
    <row r="31" spans="1:6">
      <c r="A31" s="1466">
        <v>88316</v>
      </c>
      <c r="B31" s="170" t="s">
        <v>66</v>
      </c>
      <c r="C31" s="1302" t="s">
        <v>57</v>
      </c>
      <c r="D31" s="1460">
        <v>2.7574000000000001</v>
      </c>
      <c r="E31" s="1306">
        <v>19.45</v>
      </c>
      <c r="F31" s="371">
        <f>TRUNC((D31*E31),2)</f>
        <v>53.63</v>
      </c>
    </row>
    <row r="32" spans="1:6">
      <c r="A32" s="1468"/>
      <c r="B32" s="1469"/>
      <c r="C32" s="1470" t="s">
        <v>42</v>
      </c>
      <c r="D32" s="1471" t="s">
        <v>42</v>
      </c>
      <c r="E32" s="1472" t="s">
        <v>58</v>
      </c>
      <c r="F32" s="1565">
        <f>SUM(F30:F31)</f>
        <v>78.36</v>
      </c>
    </row>
    <row r="33" spans="1:6" ht="30">
      <c r="A33" s="1468"/>
      <c r="B33" s="1136" t="s">
        <v>95</v>
      </c>
      <c r="C33" s="1463" t="s">
        <v>49</v>
      </c>
      <c r="D33" s="1464" t="s">
        <v>50</v>
      </c>
      <c r="E33" s="1465" t="s">
        <v>62</v>
      </c>
      <c r="F33" s="370" t="s">
        <v>52</v>
      </c>
    </row>
    <row r="34" spans="1:6">
      <c r="A34" s="1473"/>
      <c r="B34" s="1569"/>
      <c r="C34" s="1459"/>
      <c r="D34" s="1298"/>
      <c r="E34" s="1298"/>
      <c r="F34" s="371">
        <f>TRUNC((D34*E34),2)</f>
        <v>0</v>
      </c>
    </row>
    <row r="35" spans="1:6">
      <c r="A35" s="1477"/>
      <c r="B35" s="1478"/>
      <c r="C35" s="1388"/>
      <c r="D35" s="1479"/>
      <c r="E35" s="1472" t="s">
        <v>58</v>
      </c>
      <c r="F35" s="370">
        <f>SUM(F34:F34)</f>
        <v>0</v>
      </c>
    </row>
    <row r="36" spans="1:6" ht="15.75" thickBot="1">
      <c r="A36" s="372"/>
      <c r="B36" s="2070" t="s">
        <v>53</v>
      </c>
      <c r="C36" s="2070"/>
      <c r="D36" s="2070"/>
      <c r="E36" s="2070"/>
      <c r="F36" s="1566">
        <f>F32+F35</f>
        <v>78.36</v>
      </c>
    </row>
    <row r="37" spans="1:6" ht="15.75" thickBot="1">
      <c r="A37" s="55"/>
      <c r="B37" s="16"/>
      <c r="C37" s="16"/>
      <c r="D37" s="16"/>
      <c r="E37" s="16"/>
      <c r="F37" s="56"/>
    </row>
    <row r="38" spans="1:6" ht="25.5">
      <c r="A38" s="1564" t="s">
        <v>2186</v>
      </c>
      <c r="B38" s="424" t="s">
        <v>1208</v>
      </c>
      <c r="C38" s="369" t="s">
        <v>100</v>
      </c>
      <c r="D38" s="2063"/>
      <c r="E38" s="2064"/>
      <c r="F38" s="74"/>
    </row>
    <row r="39" spans="1:6">
      <c r="A39" s="2068" t="s">
        <v>1210</v>
      </c>
      <c r="B39" s="2069"/>
      <c r="C39" s="2069"/>
      <c r="D39" s="2069"/>
      <c r="E39" s="2069"/>
      <c r="F39" s="2002"/>
    </row>
    <row r="40" spans="1:6" ht="30">
      <c r="A40" s="1461"/>
      <c r="B40" s="1462" t="s">
        <v>56</v>
      </c>
      <c r="C40" s="1463" t="s">
        <v>49</v>
      </c>
      <c r="D40" s="1464" t="s">
        <v>50</v>
      </c>
      <c r="E40" s="1465" t="s">
        <v>62</v>
      </c>
      <c r="F40" s="370" t="s">
        <v>52</v>
      </c>
    </row>
    <row r="41" spans="1:6">
      <c r="A41" s="1466">
        <v>88238</v>
      </c>
      <c r="B41" s="1134" t="s">
        <v>1212</v>
      </c>
      <c r="C41" s="1302" t="s">
        <v>57</v>
      </c>
      <c r="D41" s="1298">
        <v>1</v>
      </c>
      <c r="E41" s="1306">
        <v>19.41</v>
      </c>
      <c r="F41" s="371">
        <f>TRUNC((D41*E41),2)</f>
        <v>19.41</v>
      </c>
    </row>
    <row r="42" spans="1:6">
      <c r="A42" s="1466">
        <v>88245</v>
      </c>
      <c r="B42" s="1467" t="s">
        <v>1213</v>
      </c>
      <c r="C42" s="1302" t="s">
        <v>57</v>
      </c>
      <c r="D42" s="1298">
        <v>1</v>
      </c>
      <c r="E42" s="1306">
        <v>24.44</v>
      </c>
      <c r="F42" s="371">
        <f>TRUNC((D42*E42),2)</f>
        <v>24.44</v>
      </c>
    </row>
    <row r="43" spans="1:6">
      <c r="A43" s="1468"/>
      <c r="B43" s="1469"/>
      <c r="C43" s="1470" t="s">
        <v>42</v>
      </c>
      <c r="D43" s="1471" t="s">
        <v>42</v>
      </c>
      <c r="E43" s="1472" t="s">
        <v>58</v>
      </c>
      <c r="F43" s="1135">
        <f>SUM(F41:F42)</f>
        <v>43.85</v>
      </c>
    </row>
    <row r="44" spans="1:6" ht="30">
      <c r="A44" s="1468"/>
      <c r="B44" s="1136" t="s">
        <v>95</v>
      </c>
      <c r="C44" s="1463" t="s">
        <v>49</v>
      </c>
      <c r="D44" s="1464" t="s">
        <v>50</v>
      </c>
      <c r="E44" s="1465" t="s">
        <v>62</v>
      </c>
      <c r="F44" s="370" t="s">
        <v>52</v>
      </c>
    </row>
    <row r="45" spans="1:6">
      <c r="A45" s="1473">
        <v>92803</v>
      </c>
      <c r="B45" s="1510" t="s">
        <v>2232</v>
      </c>
      <c r="C45" s="1459" t="s">
        <v>100</v>
      </c>
      <c r="D45" s="1298">
        <v>1.05</v>
      </c>
      <c r="E45" s="1298">
        <v>12.06</v>
      </c>
      <c r="F45" s="371">
        <f>TRUNC((D45*E45),2)</f>
        <v>12.66</v>
      </c>
    </row>
    <row r="46" spans="1:6">
      <c r="A46" s="1473">
        <v>92800</v>
      </c>
      <c r="B46" s="1510" t="s">
        <v>2433</v>
      </c>
      <c r="C46" s="1459" t="s">
        <v>100</v>
      </c>
      <c r="D46" s="1298">
        <v>1.4999999999999999E-2</v>
      </c>
      <c r="E46" s="1298">
        <v>12.37</v>
      </c>
      <c r="F46" s="371">
        <f>TRUNC((D46*E46),2)</f>
        <v>0.18</v>
      </c>
    </row>
    <row r="47" spans="1:6">
      <c r="A47" s="1473"/>
      <c r="B47" s="1474"/>
      <c r="C47" s="1459"/>
      <c r="D47" s="1298"/>
      <c r="E47" s="1472" t="s">
        <v>58</v>
      </c>
      <c r="F47" s="282">
        <f>SUM(F45:F46)</f>
        <v>12.84</v>
      </c>
    </row>
    <row r="48" spans="1:6" ht="30">
      <c r="A48" s="1473"/>
      <c r="B48" s="1475" t="s">
        <v>1209</v>
      </c>
      <c r="C48" s="1463" t="s">
        <v>49</v>
      </c>
      <c r="D48" s="1464" t="s">
        <v>50</v>
      </c>
      <c r="E48" s="1465" t="s">
        <v>62</v>
      </c>
      <c r="F48" s="370" t="s">
        <v>52</v>
      </c>
    </row>
    <row r="49" spans="1:6" ht="38.25">
      <c r="A49" s="1473">
        <v>93287</v>
      </c>
      <c r="B49" s="1476" t="s">
        <v>1214</v>
      </c>
      <c r="C49" s="1459" t="s">
        <v>456</v>
      </c>
      <c r="D49" s="1460">
        <v>1.1299999999999999E-2</v>
      </c>
      <c r="E49" s="543">
        <v>321.83999999999997</v>
      </c>
      <c r="F49" s="1570">
        <f>D49*E49</f>
        <v>3.6367919999999994</v>
      </c>
    </row>
    <row r="50" spans="1:6">
      <c r="A50" s="1473"/>
      <c r="B50" s="425"/>
      <c r="C50" s="1459"/>
      <c r="D50" s="1298"/>
      <c r="E50" s="1472" t="s">
        <v>58</v>
      </c>
      <c r="F50" s="282">
        <f>F49</f>
        <v>3.6367919999999994</v>
      </c>
    </row>
    <row r="51" spans="1:6" ht="30">
      <c r="A51" s="1473"/>
      <c r="B51" s="1475" t="s">
        <v>1211</v>
      </c>
      <c r="C51" s="1463" t="s">
        <v>49</v>
      </c>
      <c r="D51" s="1464" t="s">
        <v>50</v>
      </c>
      <c r="E51" s="1465" t="s">
        <v>62</v>
      </c>
      <c r="F51" s="370" t="s">
        <v>52</v>
      </c>
    </row>
    <row r="52" spans="1:6" ht="38.25">
      <c r="A52" s="1473">
        <v>100263</v>
      </c>
      <c r="B52" s="1256" t="s">
        <v>1732</v>
      </c>
      <c r="C52" s="1459" t="s">
        <v>1733</v>
      </c>
      <c r="D52" s="1460">
        <v>1.0500000000000001E-2</v>
      </c>
      <c r="E52" s="1298">
        <v>1.95</v>
      </c>
      <c r="F52" s="1571">
        <f>(D52*E52)</f>
        <v>2.0475E-2</v>
      </c>
    </row>
    <row r="53" spans="1:6" ht="25.5">
      <c r="A53" s="1473">
        <v>100260</v>
      </c>
      <c r="B53" s="1256" t="s">
        <v>1734</v>
      </c>
      <c r="C53" s="1459" t="s">
        <v>1733</v>
      </c>
      <c r="D53" s="1460">
        <v>2.0000000000000001E-4</v>
      </c>
      <c r="E53" s="1298">
        <v>7.84</v>
      </c>
      <c r="F53" s="1572">
        <f>(D53*E53)</f>
        <v>1.5679999999999999E-3</v>
      </c>
    </row>
    <row r="54" spans="1:6">
      <c r="A54" s="1477"/>
      <c r="B54" s="1478"/>
      <c r="C54" s="1388"/>
      <c r="D54" s="1479"/>
      <c r="E54" s="1472" t="s">
        <v>58</v>
      </c>
      <c r="F54" s="1573">
        <f>SUM(F52:F53)</f>
        <v>2.2043E-2</v>
      </c>
    </row>
    <row r="55" spans="1:6" ht="15.75" thickBot="1">
      <c r="A55" s="372"/>
      <c r="B55" s="2070" t="s">
        <v>53</v>
      </c>
      <c r="C55" s="2070"/>
      <c r="D55" s="2070"/>
      <c r="E55" s="2070"/>
      <c r="F55" s="1137">
        <f>F43+F47+F49+F54</f>
        <v>60.348834999999994</v>
      </c>
    </row>
    <row r="56" spans="1:6" ht="16.5" thickBot="1">
      <c r="A56" s="1480"/>
      <c r="B56" s="1481"/>
      <c r="C56" s="1481"/>
      <c r="D56" s="1481"/>
      <c r="E56" s="1481"/>
      <c r="F56" s="1482"/>
    </row>
    <row r="57" spans="1:6" ht="25.5">
      <c r="A57" s="1574" t="s">
        <v>1218</v>
      </c>
      <c r="B57" s="228" t="s">
        <v>1432</v>
      </c>
      <c r="C57" s="71" t="s">
        <v>46</v>
      </c>
      <c r="D57" s="2063"/>
      <c r="E57" s="2064"/>
      <c r="F57" s="74"/>
    </row>
    <row r="58" spans="1:6">
      <c r="A58" s="2068" t="s">
        <v>453</v>
      </c>
      <c r="B58" s="2069"/>
      <c r="C58" s="2069"/>
      <c r="D58" s="2069"/>
      <c r="E58" s="2069"/>
      <c r="F58" s="2002"/>
    </row>
    <row r="59" spans="1:6" ht="30">
      <c r="A59" s="1437"/>
      <c r="B59" s="1438" t="s">
        <v>56</v>
      </c>
      <c r="C59" s="1439" t="s">
        <v>49</v>
      </c>
      <c r="D59" s="1440" t="s">
        <v>50</v>
      </c>
      <c r="E59" s="1276" t="s">
        <v>62</v>
      </c>
      <c r="F59" s="38" t="s">
        <v>52</v>
      </c>
    </row>
    <row r="60" spans="1:6" ht="25.5">
      <c r="A60" s="1466">
        <v>88239</v>
      </c>
      <c r="B60" s="1509" t="s">
        <v>454</v>
      </c>
      <c r="C60" s="1302" t="s">
        <v>57</v>
      </c>
      <c r="D60" s="1287">
        <v>0.16</v>
      </c>
      <c r="E60" s="1306">
        <v>20.55</v>
      </c>
      <c r="F60" s="112">
        <f>TRUNC((D60*E60),2)</f>
        <v>3.28</v>
      </c>
    </row>
    <row r="61" spans="1:6" ht="25.5">
      <c r="A61" s="1466">
        <v>88262</v>
      </c>
      <c r="B61" s="1509" t="s">
        <v>441</v>
      </c>
      <c r="C61" s="1302" t="s">
        <v>57</v>
      </c>
      <c r="D61" s="1287">
        <v>0.16</v>
      </c>
      <c r="E61" s="1306">
        <v>24.32</v>
      </c>
      <c r="F61" s="112">
        <f>TRUNC((D61*E61),2)</f>
        <v>3.89</v>
      </c>
    </row>
    <row r="62" spans="1:6">
      <c r="A62" s="1466">
        <v>88309</v>
      </c>
      <c r="B62" s="1509" t="s">
        <v>103</v>
      </c>
      <c r="C62" s="1302" t="s">
        <v>57</v>
      </c>
      <c r="D62" s="232">
        <v>0.35</v>
      </c>
      <c r="E62" s="1306">
        <v>24.59</v>
      </c>
      <c r="F62" s="112">
        <f>TRUNC((D62*E62),2)</f>
        <v>8.6</v>
      </c>
    </row>
    <row r="63" spans="1:6">
      <c r="A63" s="1466">
        <v>88316</v>
      </c>
      <c r="B63" s="170" t="s">
        <v>66</v>
      </c>
      <c r="C63" s="1302" t="s">
        <v>57</v>
      </c>
      <c r="D63" s="232">
        <v>0.35</v>
      </c>
      <c r="E63" s="1306">
        <v>19.45</v>
      </c>
      <c r="F63" s="112">
        <f>TRUNC((D63*E63),2)</f>
        <v>6.8</v>
      </c>
    </row>
    <row r="64" spans="1:6">
      <c r="A64" s="1515"/>
      <c r="B64" s="1444"/>
      <c r="C64" s="1302" t="s">
        <v>42</v>
      </c>
      <c r="D64" s="1445" t="s">
        <v>42</v>
      </c>
      <c r="E64" s="1446" t="s">
        <v>58</v>
      </c>
      <c r="F64" s="989">
        <f>SUM(F60:F63)</f>
        <v>22.57</v>
      </c>
    </row>
    <row r="65" spans="1:6" ht="30">
      <c r="A65" s="1515"/>
      <c r="B65" s="986" t="s">
        <v>95</v>
      </c>
      <c r="C65" s="1439" t="s">
        <v>49</v>
      </c>
      <c r="D65" s="1440" t="s">
        <v>50</v>
      </c>
      <c r="E65" s="1276" t="s">
        <v>62</v>
      </c>
      <c r="F65" s="38" t="s">
        <v>52</v>
      </c>
    </row>
    <row r="66" spans="1:6" ht="38.25">
      <c r="A66" s="1575">
        <v>94965</v>
      </c>
      <c r="B66" s="1509" t="s">
        <v>420</v>
      </c>
      <c r="C66" s="1495" t="s">
        <v>47</v>
      </c>
      <c r="D66" s="1448">
        <v>3.3000000000000002E-2</v>
      </c>
      <c r="E66" s="1287">
        <v>568</v>
      </c>
      <c r="F66" s="112">
        <f t="shared" ref="F66:F71" si="0">TRUNC((D66*E66),2)</f>
        <v>18.739999999999998</v>
      </c>
    </row>
    <row r="67" spans="1:6" ht="25.5">
      <c r="A67" s="1575">
        <v>103673</v>
      </c>
      <c r="B67" s="1256" t="s">
        <v>2384</v>
      </c>
      <c r="C67" s="1495" t="s">
        <v>47</v>
      </c>
      <c r="D67" s="1448">
        <v>3.3000000000000002E-2</v>
      </c>
      <c r="E67" s="1287">
        <v>37.31</v>
      </c>
      <c r="F67" s="112">
        <f t="shared" si="0"/>
        <v>1.23</v>
      </c>
    </row>
    <row r="68" spans="1:6" ht="38.25">
      <c r="A68" s="1575">
        <v>3742</v>
      </c>
      <c r="B68" s="1256" t="s">
        <v>2014</v>
      </c>
      <c r="C68" s="1495" t="s">
        <v>46</v>
      </c>
      <c r="D68" s="1448">
        <v>1</v>
      </c>
      <c r="E68" s="1287">
        <v>110.06</v>
      </c>
      <c r="F68" s="112">
        <f t="shared" si="0"/>
        <v>110.06</v>
      </c>
    </row>
    <row r="69" spans="1:6" ht="25.5">
      <c r="A69" s="1575">
        <v>4491</v>
      </c>
      <c r="B69" s="1476" t="s">
        <v>1433</v>
      </c>
      <c r="C69" s="1495" t="s">
        <v>54</v>
      </c>
      <c r="D69" s="1448">
        <v>0.28999999999999998</v>
      </c>
      <c r="E69" s="1287">
        <v>11.67</v>
      </c>
      <c r="F69" s="112">
        <f t="shared" si="0"/>
        <v>3.38</v>
      </c>
    </row>
    <row r="70" spans="1:6">
      <c r="A70" s="1575">
        <v>5061</v>
      </c>
      <c r="B70" s="1563" t="s">
        <v>1434</v>
      </c>
      <c r="C70" s="1495" t="s">
        <v>100</v>
      </c>
      <c r="D70" s="1448">
        <v>0.03</v>
      </c>
      <c r="E70" s="1287">
        <v>25.45</v>
      </c>
      <c r="F70" s="112">
        <f t="shared" si="0"/>
        <v>0.76</v>
      </c>
    </row>
    <row r="71" spans="1:6" ht="25.5">
      <c r="A71" s="1575">
        <v>6189</v>
      </c>
      <c r="B71" s="1476" t="s">
        <v>1435</v>
      </c>
      <c r="C71" s="1495" t="s">
        <v>54</v>
      </c>
      <c r="D71" s="1448">
        <v>0.17</v>
      </c>
      <c r="E71" s="1287">
        <v>26.29</v>
      </c>
      <c r="F71" s="112">
        <f t="shared" si="0"/>
        <v>4.46</v>
      </c>
    </row>
    <row r="72" spans="1:6">
      <c r="A72" s="1449"/>
      <c r="B72" s="1450"/>
      <c r="C72" s="1318"/>
      <c r="D72" s="1451"/>
      <c r="E72" s="1446" t="s">
        <v>58</v>
      </c>
      <c r="F72" s="38">
        <f>SUM(F66:F71)</f>
        <v>138.63</v>
      </c>
    </row>
    <row r="73" spans="1:6" ht="15.75" thickBot="1">
      <c r="A73" s="44"/>
      <c r="B73" s="1990" t="s">
        <v>53</v>
      </c>
      <c r="C73" s="1990"/>
      <c r="D73" s="1990"/>
      <c r="E73" s="1990"/>
      <c r="F73" s="988">
        <f>F64+F72</f>
        <v>161.19999999999999</v>
      </c>
    </row>
    <row r="74" spans="1:6" ht="15.75" thickBot="1">
      <c r="A74" s="2075" t="s">
        <v>1441</v>
      </c>
      <c r="B74" s="2076"/>
      <c r="C74" s="2076"/>
      <c r="D74" s="2076"/>
      <c r="E74" s="2076"/>
      <c r="F74" s="2077"/>
    </row>
    <row r="75" spans="1:6" ht="15.75" thickBot="1">
      <c r="A75" s="55"/>
      <c r="B75" s="16"/>
      <c r="C75" s="16"/>
      <c r="D75" s="16"/>
      <c r="E75" s="16"/>
      <c r="F75" s="56"/>
    </row>
    <row r="76" spans="1:6" ht="38.25">
      <c r="A76" s="1574" t="s">
        <v>1391</v>
      </c>
      <c r="B76" s="525" t="s">
        <v>1372</v>
      </c>
      <c r="C76" s="442" t="s">
        <v>1184</v>
      </c>
      <c r="D76" s="443"/>
      <c r="E76" s="444"/>
      <c r="F76" s="445"/>
    </row>
    <row r="77" spans="1:6">
      <c r="A77" s="2072" t="s">
        <v>1393</v>
      </c>
      <c r="B77" s="2073"/>
      <c r="C77" s="2073"/>
      <c r="D77" s="2073"/>
      <c r="E77" s="2073"/>
      <c r="F77" s="2074"/>
    </row>
    <row r="78" spans="1:6" ht="24">
      <c r="A78" s="446"/>
      <c r="B78" s="440" t="s">
        <v>48</v>
      </c>
      <c r="C78" s="447" t="s">
        <v>49</v>
      </c>
      <c r="D78" s="448" t="s">
        <v>50</v>
      </c>
      <c r="E78" s="449" t="s">
        <v>51</v>
      </c>
      <c r="F78" s="450" t="s">
        <v>52</v>
      </c>
    </row>
    <row r="79" spans="1:6">
      <c r="A79" s="1449">
        <v>88315</v>
      </c>
      <c r="B79" s="1504" t="s">
        <v>1373</v>
      </c>
      <c r="C79" s="1576" t="s">
        <v>411</v>
      </c>
      <c r="D79" s="1577">
        <v>0.02</v>
      </c>
      <c r="E79" s="1287">
        <v>24.44</v>
      </c>
      <c r="F79" s="265">
        <f t="shared" ref="F79:F84" si="1">TRUNC(D79*E79,2)</f>
        <v>0.48</v>
      </c>
    </row>
    <row r="80" spans="1:6" ht="25.5">
      <c r="A80" s="1449">
        <v>88251</v>
      </c>
      <c r="B80" s="1504" t="s">
        <v>1374</v>
      </c>
      <c r="C80" s="1576" t="s">
        <v>411</v>
      </c>
      <c r="D80" s="1577">
        <v>0.02</v>
      </c>
      <c r="E80" s="1287">
        <v>20.63</v>
      </c>
      <c r="F80" s="265">
        <f t="shared" si="1"/>
        <v>0.41</v>
      </c>
    </row>
    <row r="81" spans="1:6">
      <c r="A81" s="1449">
        <v>88310</v>
      </c>
      <c r="B81" s="1504" t="s">
        <v>127</v>
      </c>
      <c r="C81" s="1576" t="s">
        <v>411</v>
      </c>
      <c r="D81" s="1577">
        <v>3.0000000000000001E-3</v>
      </c>
      <c r="E81" s="1287">
        <v>25.64</v>
      </c>
      <c r="F81" s="265">
        <f t="shared" si="1"/>
        <v>7.0000000000000007E-2</v>
      </c>
    </row>
    <row r="82" spans="1:6">
      <c r="A82" s="1449">
        <v>100301</v>
      </c>
      <c r="B82" s="1504" t="s">
        <v>1375</v>
      </c>
      <c r="C82" s="1576" t="s">
        <v>411</v>
      </c>
      <c r="D82" s="1577">
        <v>3.0000000000000001E-3</v>
      </c>
      <c r="E82" s="1287">
        <v>21.82</v>
      </c>
      <c r="F82" s="265">
        <f t="shared" si="1"/>
        <v>0.06</v>
      </c>
    </row>
    <row r="83" spans="1:6" ht="25.5">
      <c r="A83" s="1449">
        <v>88240</v>
      </c>
      <c r="B83" s="1504" t="s">
        <v>1376</v>
      </c>
      <c r="C83" s="1576" t="s">
        <v>411</v>
      </c>
      <c r="D83" s="1577">
        <v>0.04</v>
      </c>
      <c r="E83" s="1287">
        <v>14.26</v>
      </c>
      <c r="F83" s="265">
        <f t="shared" si="1"/>
        <v>0.56999999999999995</v>
      </c>
    </row>
    <row r="84" spans="1:6">
      <c r="A84" s="1449">
        <v>88317</v>
      </c>
      <c r="B84" s="1504" t="s">
        <v>1377</v>
      </c>
      <c r="C84" s="1576" t="s">
        <v>411</v>
      </c>
      <c r="D84" s="1577">
        <v>0.04</v>
      </c>
      <c r="E84" s="1287">
        <v>25.26</v>
      </c>
      <c r="F84" s="265">
        <f t="shared" si="1"/>
        <v>1.01</v>
      </c>
    </row>
    <row r="85" spans="1:6">
      <c r="A85" s="1301"/>
      <c r="B85" s="1578"/>
      <c r="C85" s="1576"/>
      <c r="D85" s="1579"/>
      <c r="E85" s="1260" t="s">
        <v>58</v>
      </c>
      <c r="F85" s="266">
        <f>SUM(F79:F84)</f>
        <v>2.5999999999999996</v>
      </c>
    </row>
    <row r="86" spans="1:6" ht="25.5">
      <c r="A86" s="517" t="s">
        <v>1378</v>
      </c>
      <c r="B86" s="518" t="s">
        <v>1379</v>
      </c>
      <c r="C86" s="519" t="s">
        <v>49</v>
      </c>
      <c r="D86" s="520" t="s">
        <v>50</v>
      </c>
      <c r="E86" s="521" t="s">
        <v>51</v>
      </c>
      <c r="F86" s="522" t="s">
        <v>52</v>
      </c>
    </row>
    <row r="87" spans="1:6" ht="38.25">
      <c r="A87" s="1449">
        <v>98764</v>
      </c>
      <c r="B87" s="1504" t="s">
        <v>1380</v>
      </c>
      <c r="C87" s="1576" t="s">
        <v>456</v>
      </c>
      <c r="D87" s="1577">
        <v>0.04</v>
      </c>
      <c r="E87" s="1287">
        <v>5.3</v>
      </c>
      <c r="F87" s="265">
        <f t="shared" ref="F87:F92" si="2">TRUNC(D87*E87,2)</f>
        <v>0.21</v>
      </c>
    </row>
    <row r="88" spans="1:6" ht="38.25">
      <c r="A88" s="1449">
        <v>98765</v>
      </c>
      <c r="B88" s="1504" t="s">
        <v>1381</v>
      </c>
      <c r="C88" s="1576" t="s">
        <v>577</v>
      </c>
      <c r="D88" s="1577">
        <v>0.04</v>
      </c>
      <c r="E88" s="1287">
        <v>0.1</v>
      </c>
      <c r="F88" s="265">
        <f>ROUNDUP(D88*E88,2)</f>
        <v>0.01</v>
      </c>
    </row>
    <row r="89" spans="1:6" ht="25.5">
      <c r="A89" s="1449">
        <v>43083</v>
      </c>
      <c r="B89" s="1504" t="s">
        <v>1382</v>
      </c>
      <c r="C89" s="1576" t="s">
        <v>1383</v>
      </c>
      <c r="D89" s="1577">
        <v>0.52500000000000002</v>
      </c>
      <c r="E89" s="1287">
        <v>11.26</v>
      </c>
      <c r="F89" s="265">
        <f t="shared" si="2"/>
        <v>5.91</v>
      </c>
    </row>
    <row r="90" spans="1:6">
      <c r="A90" s="1449">
        <v>546</v>
      </c>
      <c r="B90" s="1504" t="s">
        <v>1384</v>
      </c>
      <c r="C90" s="1576" t="s">
        <v>1383</v>
      </c>
      <c r="D90" s="1577">
        <v>0.52500000000000002</v>
      </c>
      <c r="E90" s="1287">
        <v>11.45</v>
      </c>
      <c r="F90" s="265">
        <f t="shared" si="2"/>
        <v>6.01</v>
      </c>
    </row>
    <row r="91" spans="1:6">
      <c r="A91" s="1449">
        <v>7307</v>
      </c>
      <c r="B91" s="1504" t="s">
        <v>1385</v>
      </c>
      <c r="C91" s="1576" t="s">
        <v>1386</v>
      </c>
      <c r="D91" s="1577">
        <v>2.5000000000000001E-3</v>
      </c>
      <c r="E91" s="1287">
        <v>42.25</v>
      </c>
      <c r="F91" s="265">
        <f t="shared" si="2"/>
        <v>0.1</v>
      </c>
    </row>
    <row r="92" spans="1:6" ht="25.5">
      <c r="A92" s="1449">
        <v>10997</v>
      </c>
      <c r="B92" s="1504" t="s">
        <v>1387</v>
      </c>
      <c r="C92" s="1576" t="s">
        <v>1383</v>
      </c>
      <c r="D92" s="1577">
        <v>1.2999999999999999E-2</v>
      </c>
      <c r="E92" s="1287">
        <v>29.77</v>
      </c>
      <c r="F92" s="265">
        <f t="shared" si="2"/>
        <v>0.38</v>
      </c>
    </row>
    <row r="93" spans="1:6">
      <c r="A93" s="1449">
        <v>5318</v>
      </c>
      <c r="B93" s="1504" t="s">
        <v>2434</v>
      </c>
      <c r="C93" s="1576" t="s">
        <v>1386</v>
      </c>
      <c r="D93" s="1577">
        <v>2.9999999999999997E-4</v>
      </c>
      <c r="E93" s="1287">
        <v>18</v>
      </c>
      <c r="F93" s="265">
        <f>ROUNDUP(D93*E93,2)</f>
        <v>0.01</v>
      </c>
    </row>
    <row r="94" spans="1:6">
      <c r="A94" s="1301"/>
      <c r="B94" s="1578"/>
      <c r="C94" s="1576"/>
      <c r="D94" s="1579"/>
      <c r="E94" s="1260" t="s">
        <v>58</v>
      </c>
      <c r="F94" s="266">
        <f>SUM(F87:F93)</f>
        <v>12.63</v>
      </c>
    </row>
    <row r="95" spans="1:6" ht="15.75" thickBot="1">
      <c r="A95" s="523"/>
      <c r="B95" s="2078" t="s">
        <v>53</v>
      </c>
      <c r="C95" s="2078"/>
      <c r="D95" s="2078"/>
      <c r="E95" s="2078"/>
      <c r="F95" s="524">
        <f>F85+F94</f>
        <v>15.23</v>
      </c>
    </row>
    <row r="96" spans="1:6" ht="15.75" thickBot="1">
      <c r="A96" s="1580"/>
      <c r="B96" s="451"/>
      <c r="C96" s="451"/>
      <c r="D96" s="451"/>
      <c r="E96" s="451"/>
      <c r="F96" s="1581"/>
    </row>
    <row r="97" spans="1:6">
      <c r="A97" s="1574" t="s">
        <v>1392</v>
      </c>
      <c r="B97" s="525" t="s">
        <v>1388</v>
      </c>
      <c r="C97" s="191" t="s">
        <v>1184</v>
      </c>
      <c r="D97" s="526"/>
      <c r="E97" s="527"/>
      <c r="F97" s="528"/>
    </row>
    <row r="98" spans="1:6">
      <c r="A98" s="2072" t="s">
        <v>1399</v>
      </c>
      <c r="B98" s="2073"/>
      <c r="C98" s="2073"/>
      <c r="D98" s="2073"/>
      <c r="E98" s="2073"/>
      <c r="F98" s="2074"/>
    </row>
    <row r="99" spans="1:6" ht="25.5">
      <c r="A99" s="529"/>
      <c r="B99" s="518" t="s">
        <v>48</v>
      </c>
      <c r="C99" s="519" t="s">
        <v>49</v>
      </c>
      <c r="D99" s="520" t="s">
        <v>50</v>
      </c>
      <c r="E99" s="521" t="s">
        <v>51</v>
      </c>
      <c r="F99" s="522" t="s">
        <v>52</v>
      </c>
    </row>
    <row r="100" spans="1:6" ht="25.5">
      <c r="A100" s="1582">
        <v>88278</v>
      </c>
      <c r="B100" s="1504" t="s">
        <v>1389</v>
      </c>
      <c r="C100" s="1576" t="s">
        <v>411</v>
      </c>
      <c r="D100" s="1577">
        <v>0.02</v>
      </c>
      <c r="E100" s="1287">
        <v>17.66</v>
      </c>
      <c r="F100" s="265">
        <f>TRUNC(D100*E100,2)</f>
        <v>0.35</v>
      </c>
    </row>
    <row r="101" spans="1:6" ht="25.5">
      <c r="A101" s="1582">
        <v>88240</v>
      </c>
      <c r="B101" s="1504" t="s">
        <v>1376</v>
      </c>
      <c r="C101" s="1576" t="s">
        <v>411</v>
      </c>
      <c r="D101" s="1577">
        <v>0.06</v>
      </c>
      <c r="E101" s="1287">
        <v>14.26</v>
      </c>
      <c r="F101" s="265">
        <f>TRUNC(D101*E101,2)</f>
        <v>0.85</v>
      </c>
    </row>
    <row r="102" spans="1:6">
      <c r="A102" s="1301"/>
      <c r="B102" s="1578"/>
      <c r="C102" s="1576"/>
      <c r="D102" s="1579"/>
      <c r="E102" s="1260" t="s">
        <v>58</v>
      </c>
      <c r="F102" s="266">
        <f>SUM(F100:F101)</f>
        <v>1.2</v>
      </c>
    </row>
    <row r="103" spans="1:6" ht="25.5">
      <c r="A103" s="517" t="s">
        <v>1378</v>
      </c>
      <c r="B103" s="518" t="s">
        <v>1379</v>
      </c>
      <c r="C103" s="519" t="s">
        <v>49</v>
      </c>
      <c r="D103" s="520" t="s">
        <v>50</v>
      </c>
      <c r="E103" s="521" t="s">
        <v>51</v>
      </c>
      <c r="F103" s="522" t="s">
        <v>52</v>
      </c>
    </row>
    <row r="104" spans="1:6" ht="38.25">
      <c r="A104" s="1449">
        <v>89272</v>
      </c>
      <c r="B104" s="1504" t="s">
        <v>1390</v>
      </c>
      <c r="C104" s="1576" t="s">
        <v>456</v>
      </c>
      <c r="D104" s="1577">
        <v>0.01</v>
      </c>
      <c r="E104" s="1287">
        <v>200.88</v>
      </c>
      <c r="F104" s="265">
        <f>TRUNC(D104*E104,2)</f>
        <v>2</v>
      </c>
    </row>
    <row r="105" spans="1:6">
      <c r="A105" s="1301"/>
      <c r="B105" s="1578"/>
      <c r="C105" s="1576"/>
      <c r="D105" s="1579"/>
      <c r="E105" s="1260" t="s">
        <v>58</v>
      </c>
      <c r="F105" s="266">
        <f>SUM(F104:F104)</f>
        <v>2</v>
      </c>
    </row>
    <row r="106" spans="1:6" ht="15.75" thickBot="1">
      <c r="A106" s="523"/>
      <c r="B106" s="2078" t="s">
        <v>53</v>
      </c>
      <c r="C106" s="2078"/>
      <c r="D106" s="2078"/>
      <c r="E106" s="2078"/>
      <c r="F106" s="524">
        <f>F102+F105</f>
        <v>3.2</v>
      </c>
    </row>
    <row r="107" spans="1:6" ht="15.75" thickBot="1">
      <c r="A107" s="55"/>
      <c r="B107" s="16"/>
      <c r="C107" s="16"/>
      <c r="D107" s="16"/>
      <c r="E107" s="16"/>
      <c r="F107" s="56"/>
    </row>
    <row r="108" spans="1:6" ht="25.5">
      <c r="A108" s="1574" t="s">
        <v>1398</v>
      </c>
      <c r="B108" s="525" t="s">
        <v>1394</v>
      </c>
      <c r="C108" s="191" t="s">
        <v>1395</v>
      </c>
      <c r="D108" s="526"/>
      <c r="E108" s="527"/>
      <c r="F108" s="528"/>
    </row>
    <row r="109" spans="1:6">
      <c r="A109" s="2072" t="s">
        <v>1400</v>
      </c>
      <c r="B109" s="2073"/>
      <c r="C109" s="2073"/>
      <c r="D109" s="2073"/>
      <c r="E109" s="2073"/>
      <c r="F109" s="2074"/>
    </row>
    <row r="110" spans="1:6" ht="25.5">
      <c r="A110" s="529"/>
      <c r="B110" s="518" t="s">
        <v>48</v>
      </c>
      <c r="C110" s="519" t="s">
        <v>49</v>
      </c>
      <c r="D110" s="520" t="s">
        <v>50</v>
      </c>
      <c r="E110" s="521" t="s">
        <v>51</v>
      </c>
      <c r="F110" s="522" t="s">
        <v>52</v>
      </c>
    </row>
    <row r="111" spans="1:6">
      <c r="A111" s="1582">
        <v>88309</v>
      </c>
      <c r="B111" s="1504" t="s">
        <v>103</v>
      </c>
      <c r="C111" s="1576" t="s">
        <v>411</v>
      </c>
      <c r="D111" s="1577">
        <v>0.15</v>
      </c>
      <c r="E111" s="1287">
        <v>24.59</v>
      </c>
      <c r="F111" s="265">
        <f>TRUNC(D111*E111,2)</f>
        <v>3.68</v>
      </c>
    </row>
    <row r="112" spans="1:6">
      <c r="A112" s="1449">
        <v>88316</v>
      </c>
      <c r="B112" s="1504" t="s">
        <v>66</v>
      </c>
      <c r="C112" s="1576" t="s">
        <v>411</v>
      </c>
      <c r="D112" s="1583">
        <v>0.15</v>
      </c>
      <c r="E112" s="1307">
        <v>19.45</v>
      </c>
      <c r="F112" s="265">
        <f>TRUNC(D112*E112,2)</f>
        <v>2.91</v>
      </c>
    </row>
    <row r="113" spans="1:6">
      <c r="A113" s="1301"/>
      <c r="B113" s="1578" t="s">
        <v>307</v>
      </c>
      <c r="C113" s="1576"/>
      <c r="D113" s="1579"/>
      <c r="E113" s="1584"/>
      <c r="F113" s="266">
        <f>SUM(F111:F112)</f>
        <v>6.59</v>
      </c>
    </row>
    <row r="114" spans="1:6" ht="25.5">
      <c r="A114" s="517" t="s">
        <v>1378</v>
      </c>
      <c r="B114" s="518" t="s">
        <v>1379</v>
      </c>
      <c r="C114" s="519" t="s">
        <v>49</v>
      </c>
      <c r="D114" s="520" t="s">
        <v>50</v>
      </c>
      <c r="E114" s="521" t="s">
        <v>51</v>
      </c>
      <c r="F114" s="522" t="s">
        <v>52</v>
      </c>
    </row>
    <row r="115" spans="1:6" ht="25.5">
      <c r="A115" s="1449" t="s">
        <v>65</v>
      </c>
      <c r="B115" s="1504" t="s">
        <v>1396</v>
      </c>
      <c r="C115" s="1576" t="s">
        <v>1395</v>
      </c>
      <c r="D115" s="1577">
        <v>1</v>
      </c>
      <c r="E115" s="1287">
        <f>C122</f>
        <v>1.55</v>
      </c>
      <c r="F115" s="265">
        <f>TRUNC(D115*E115,2)</f>
        <v>1.55</v>
      </c>
    </row>
    <row r="116" spans="1:6">
      <c r="A116" s="1301"/>
      <c r="B116" s="1578" t="s">
        <v>307</v>
      </c>
      <c r="C116" s="1576"/>
      <c r="D116" s="1579"/>
      <c r="E116" s="1584"/>
      <c r="F116" s="266">
        <f>SUM(F115:F115)</f>
        <v>1.55</v>
      </c>
    </row>
    <row r="117" spans="1:6" ht="15.75" thickBot="1">
      <c r="A117" s="523"/>
      <c r="B117" s="2078" t="s">
        <v>53</v>
      </c>
      <c r="C117" s="2078"/>
      <c r="D117" s="2078"/>
      <c r="E117" s="2078"/>
      <c r="F117" s="524">
        <f>F113+F116</f>
        <v>8.14</v>
      </c>
    </row>
    <row r="118" spans="1:6" ht="15.75" thickBot="1">
      <c r="A118" s="530"/>
      <c r="B118" s="1983" t="s">
        <v>96</v>
      </c>
      <c r="C118" s="1984"/>
      <c r="D118" s="1984"/>
      <c r="E118" s="1985"/>
      <c r="F118" s="531"/>
    </row>
    <row r="119" spans="1:6" ht="25.5">
      <c r="A119" s="532" t="s">
        <v>299</v>
      </c>
      <c r="B119" s="533" t="str">
        <f>B115</f>
        <v xml:space="preserve">PARAFUSO DE ACO TIPO CHUMBADOR PARABOLT, WALSYWA CBPL 14300 1/4" </v>
      </c>
      <c r="C119" s="534" t="str">
        <f>C115</f>
        <v xml:space="preserve">UN </v>
      </c>
      <c r="D119" s="2086" t="s">
        <v>60</v>
      </c>
      <c r="E119" s="2087"/>
      <c r="F119" s="535" t="s">
        <v>1397</v>
      </c>
    </row>
    <row r="120" spans="1:6" ht="25.5">
      <c r="A120" s="1255">
        <v>44890</v>
      </c>
      <c r="B120" s="1585" t="s">
        <v>2435</v>
      </c>
      <c r="C120" s="1579">
        <v>1.55</v>
      </c>
      <c r="D120" s="2088" t="s">
        <v>2377</v>
      </c>
      <c r="E120" s="2089"/>
      <c r="F120" s="536" t="s">
        <v>2436</v>
      </c>
    </row>
    <row r="121" spans="1:6">
      <c r="A121" s="1255"/>
      <c r="B121" s="15" t="s">
        <v>2378</v>
      </c>
      <c r="C121" s="1579"/>
      <c r="D121" s="2079" t="s">
        <v>2128</v>
      </c>
      <c r="E121" s="2080"/>
      <c r="F121" s="536"/>
    </row>
    <row r="122" spans="1:6" ht="15.75" thickBot="1">
      <c r="A122" s="537"/>
      <c r="B122" s="1586" t="s">
        <v>61</v>
      </c>
      <c r="C122" s="1587">
        <f>MEDIAN(C120:C121)</f>
        <v>1.55</v>
      </c>
      <c r="D122" s="2081"/>
      <c r="E122" s="2082"/>
      <c r="F122" s="538"/>
    </row>
    <row r="123" spans="1:6" ht="15.75" thickBot="1">
      <c r="A123" s="2083" t="s">
        <v>2437</v>
      </c>
      <c r="B123" s="2084"/>
      <c r="C123" s="2084"/>
      <c r="D123" s="2084"/>
      <c r="E123" s="2084"/>
      <c r="F123" s="2085"/>
    </row>
  </sheetData>
  <mergeCells count="27">
    <mergeCell ref="D121:E121"/>
    <mergeCell ref="D122:E122"/>
    <mergeCell ref="A123:F123"/>
    <mergeCell ref="B106:E106"/>
    <mergeCell ref="A109:F109"/>
    <mergeCell ref="B117:E117"/>
    <mergeCell ref="B118:E118"/>
    <mergeCell ref="D119:E119"/>
    <mergeCell ref="D120:E120"/>
    <mergeCell ref="A98:F98"/>
    <mergeCell ref="A28:F28"/>
    <mergeCell ref="B36:E36"/>
    <mergeCell ref="D38:E38"/>
    <mergeCell ref="A39:F39"/>
    <mergeCell ref="B55:E55"/>
    <mergeCell ref="D57:E57"/>
    <mergeCell ref="A58:F58"/>
    <mergeCell ref="B73:E73"/>
    <mergeCell ref="A74:F74"/>
    <mergeCell ref="A77:F77"/>
    <mergeCell ref="B95:E95"/>
    <mergeCell ref="D27:E27"/>
    <mergeCell ref="A11:F11"/>
    <mergeCell ref="D12:E12"/>
    <mergeCell ref="A13:F13"/>
    <mergeCell ref="B25:E25"/>
    <mergeCell ref="B26:E26"/>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7"/>
  <sheetViews>
    <sheetView tabSelected="1" view="pageBreakPreview" topLeftCell="A25" zoomScaleNormal="90" zoomScaleSheetLayoutView="100" workbookViewId="0">
      <selection activeCell="H48" sqref="H48"/>
    </sheetView>
  </sheetViews>
  <sheetFormatPr defaultRowHeight="15"/>
  <cols>
    <col min="1" max="1" width="18.5703125" customWidth="1"/>
    <col min="2" max="2" width="46.5703125" customWidth="1"/>
    <col min="3" max="3" width="14.28515625" customWidth="1"/>
    <col min="4" max="4" width="8.28515625" customWidth="1"/>
    <col min="5" max="5" width="13.140625" customWidth="1"/>
    <col min="6" max="6" width="8.85546875" customWidth="1"/>
    <col min="7" max="7" width="12" customWidth="1"/>
    <col min="8" max="8" width="9" customWidth="1"/>
    <col min="9" max="9" width="12.42578125" customWidth="1"/>
    <col min="10" max="10" width="9.42578125" customWidth="1"/>
    <col min="11" max="11" width="12.42578125" customWidth="1"/>
    <col min="12" max="12" width="8.7109375" customWidth="1"/>
    <col min="13" max="13" width="11.140625" customWidth="1"/>
  </cols>
  <sheetData>
    <row r="1" spans="1:14" ht="18.75" customHeight="1">
      <c r="A1" s="106"/>
      <c r="B1" s="48"/>
      <c r="C1" s="13"/>
      <c r="D1" s="13"/>
      <c r="E1" s="13"/>
      <c r="F1" s="13"/>
      <c r="G1" s="13"/>
      <c r="H1" s="13"/>
      <c r="I1" s="13"/>
      <c r="J1" s="13"/>
      <c r="K1" s="13"/>
      <c r="L1" s="13"/>
      <c r="M1" s="1767"/>
      <c r="N1" s="16"/>
    </row>
    <row r="2" spans="1:14" ht="18" customHeight="1">
      <c r="A2" s="1865"/>
      <c r="B2" s="1866"/>
      <c r="C2" s="1867"/>
      <c r="D2" s="1867"/>
      <c r="E2" s="1867"/>
      <c r="F2" s="1867"/>
      <c r="G2" s="1867"/>
      <c r="H2" s="1867"/>
      <c r="I2" s="1867"/>
      <c r="J2" s="1867"/>
      <c r="K2" s="1867"/>
      <c r="L2" s="1867"/>
      <c r="M2" s="1868"/>
      <c r="N2" s="16"/>
    </row>
    <row r="3" spans="1:14" ht="18" customHeight="1">
      <c r="A3" s="1869"/>
      <c r="B3" s="1856"/>
      <c r="C3" s="1857"/>
      <c r="D3" s="1857"/>
      <c r="E3" s="1857"/>
      <c r="F3" s="1857"/>
      <c r="G3" s="1857"/>
      <c r="H3" s="1857"/>
      <c r="I3" s="1857"/>
      <c r="J3" s="1857"/>
      <c r="K3" s="1857"/>
      <c r="L3" s="1857"/>
      <c r="M3" s="1870"/>
      <c r="N3" s="16"/>
    </row>
    <row r="4" spans="1:14" ht="18" customHeight="1">
      <c r="A4" s="1869"/>
      <c r="B4" s="1858"/>
      <c r="C4" s="1879"/>
      <c r="D4" s="1879"/>
      <c r="E4" s="1879"/>
      <c r="F4" s="1879"/>
      <c r="G4" s="1879"/>
      <c r="H4" s="1879"/>
      <c r="I4" s="1857"/>
      <c r="J4" s="1857"/>
      <c r="K4" s="1857"/>
      <c r="L4" s="1857"/>
      <c r="M4" s="1870"/>
      <c r="N4" s="16"/>
    </row>
    <row r="5" spans="1:14" ht="20.25" customHeight="1">
      <c r="A5" s="1869"/>
      <c r="B5" s="1859"/>
      <c r="C5" s="1879"/>
      <c r="D5" s="1879"/>
      <c r="E5" s="1879"/>
      <c r="F5" s="1879"/>
      <c r="G5" s="1879"/>
      <c r="H5" s="1879"/>
      <c r="I5" s="1879"/>
      <c r="J5" s="1860"/>
      <c r="K5" s="1860"/>
      <c r="L5" s="1860"/>
      <c r="M5" s="1871"/>
      <c r="N5" s="16"/>
    </row>
    <row r="6" spans="1:14" ht="18" customHeight="1">
      <c r="A6" s="1872"/>
      <c r="B6" s="1873"/>
      <c r="C6" s="1874"/>
      <c r="D6" s="2092"/>
      <c r="E6" s="2092"/>
      <c r="F6" s="2092"/>
      <c r="G6" s="2092"/>
      <c r="H6" s="1874"/>
      <c r="I6" s="1874"/>
      <c r="J6" s="1874"/>
      <c r="K6" s="1874"/>
      <c r="L6" s="1874"/>
      <c r="M6" s="1875"/>
      <c r="N6" s="16"/>
    </row>
    <row r="7" spans="1:14" ht="15.75">
      <c r="A7" s="1861" t="s">
        <v>0</v>
      </c>
      <c r="B7" s="1862" t="str">
        <f>'RESUMO SEM DESONERAÇÃO'!B7:C7</f>
        <v>SEMA-PRO-2022/00145</v>
      </c>
      <c r="C7" s="1863"/>
      <c r="D7" s="1863"/>
      <c r="E7" s="1863"/>
      <c r="F7" s="1863"/>
      <c r="G7" s="1863"/>
      <c r="H7" s="1863"/>
      <c r="I7" s="1863"/>
      <c r="J7" s="1863"/>
      <c r="K7" s="1863"/>
      <c r="L7" s="1863"/>
      <c r="M7" s="1864"/>
    </row>
    <row r="8" spans="1:14" ht="15.75" customHeight="1">
      <c r="A8" s="51" t="str">
        <f>'RESUMO SEM DESONERAÇÃO'!A8</f>
        <v>OBRA:</v>
      </c>
      <c r="B8" s="2090" t="str">
        <f>'RESUMO SEM DESONERAÇÃO'!B8</f>
        <v>CONSTRUÇÃO DE DIRETORIA DE UNIDADE DESCONCENTRADA DA SEMA - DUDS</v>
      </c>
      <c r="C8" s="2090"/>
      <c r="D8" s="2090"/>
      <c r="E8" s="2090"/>
      <c r="F8" s="2090"/>
      <c r="G8" s="1633"/>
      <c r="H8" s="1633"/>
      <c r="I8" s="1633"/>
      <c r="J8" s="1633"/>
      <c r="K8" s="1633"/>
      <c r="L8" s="1633"/>
      <c r="M8" s="14"/>
    </row>
    <row r="9" spans="1:14" ht="15.75" customHeight="1">
      <c r="A9" s="49" t="str">
        <f>'RESUMO SEM DESONERAÇÃO'!A9</f>
        <v>ENDEREÇO:</v>
      </c>
      <c r="B9" s="2090" t="str">
        <f>'RESUMO SEM DESONERAÇÃO'!B9</f>
        <v>RUA 24 A - JARDIM TANGARA II</v>
      </c>
      <c r="C9" s="2090"/>
      <c r="D9" s="2090"/>
      <c r="E9" s="2090"/>
      <c r="F9" s="2090"/>
      <c r="G9" s="1633"/>
      <c r="H9" s="1633"/>
      <c r="I9" s="1633"/>
      <c r="J9" s="1633"/>
      <c r="K9" s="1633"/>
      <c r="L9" s="542" t="str">
        <f>'RESUMO SEM DESONERAÇÃO'!D10</f>
        <v>BDI:</v>
      </c>
      <c r="M9" s="14">
        <f>'RESUMO SEM DESONERAÇÃO'!E10</f>
        <v>0.2223</v>
      </c>
    </row>
    <row r="10" spans="1:14" ht="15.75">
      <c r="A10" s="49" t="str">
        <f>'RESUMO SEM DESONERAÇÃO'!A10</f>
        <v>MUNICÍPIO:</v>
      </c>
      <c r="B10" s="2090" t="str">
        <f>'RESUMO SEM DESONERAÇÃO'!B10</f>
        <v>TANGARÁ DA SERRA - MT</v>
      </c>
      <c r="C10" s="2090"/>
      <c r="D10" s="2090"/>
      <c r="E10" s="2090"/>
      <c r="F10" s="2090"/>
      <c r="G10" s="1633"/>
      <c r="H10" s="1633"/>
      <c r="I10" s="1633"/>
      <c r="J10" s="1633"/>
      <c r="K10" s="1633"/>
      <c r="L10" s="542" t="str">
        <f>'RESUMO SEM DESONERAÇÃO'!D9</f>
        <v>Prazo:</v>
      </c>
      <c r="M10" s="1768" t="str">
        <f>'RESUMO SEM DESONERAÇÃO'!E9</f>
        <v>120 dias</v>
      </c>
    </row>
    <row r="11" spans="1:14" ht="16.5" thickBot="1">
      <c r="A11" s="50" t="str">
        <f>'RESUMO SEM DESONERAÇÃO'!A11</f>
        <v>ASSUNTO:</v>
      </c>
      <c r="B11" s="2091" t="str">
        <f>'RESUMO SEM DESONERAÇÃO'!B11</f>
        <v xml:space="preserve">CONSTRUÇÃO </v>
      </c>
      <c r="C11" s="2091"/>
      <c r="D11" s="2091"/>
      <c r="E11" s="2091"/>
      <c r="F11" s="2091"/>
      <c r="G11" s="1634"/>
      <c r="H11" s="1634"/>
      <c r="I11" s="1634"/>
      <c r="J11" s="1634"/>
      <c r="K11" s="1634"/>
      <c r="L11" s="1634"/>
      <c r="M11" s="47"/>
    </row>
    <row r="12" spans="1:14" ht="5.25" customHeight="1" thickBot="1">
      <c r="A12" s="174"/>
      <c r="B12" s="3"/>
      <c r="C12" s="3"/>
      <c r="D12" s="3"/>
      <c r="E12" s="3"/>
      <c r="F12" s="8"/>
      <c r="G12" s="8"/>
      <c r="H12" s="8"/>
      <c r="I12" s="8"/>
      <c r="J12" s="8"/>
      <c r="K12" s="8"/>
      <c r="L12" s="8"/>
      <c r="M12" s="175"/>
    </row>
    <row r="13" spans="1:14" ht="16.5" thickBot="1">
      <c r="A13" s="2094" t="s">
        <v>33</v>
      </c>
      <c r="B13" s="2095"/>
      <c r="C13" s="2095"/>
      <c r="D13" s="2095"/>
      <c r="E13" s="2095"/>
      <c r="F13" s="2095"/>
      <c r="G13" s="2095"/>
      <c r="H13" s="2095"/>
      <c r="I13" s="2095"/>
      <c r="J13" s="2095"/>
      <c r="K13" s="2095"/>
      <c r="L13" s="2095"/>
      <c r="M13" s="2096"/>
    </row>
    <row r="14" spans="1:14" ht="15.75">
      <c r="A14" s="2097" t="s">
        <v>28</v>
      </c>
      <c r="B14" s="2100" t="s">
        <v>34</v>
      </c>
      <c r="C14" s="2100" t="s">
        <v>64</v>
      </c>
      <c r="D14" s="2100"/>
      <c r="E14" s="2103" t="s">
        <v>63</v>
      </c>
      <c r="F14" s="2104"/>
      <c r="G14" s="2104"/>
      <c r="H14" s="2104"/>
      <c r="I14" s="2104"/>
      <c r="J14" s="2104"/>
      <c r="K14" s="2104"/>
      <c r="L14" s="2104"/>
      <c r="M14" s="2105"/>
    </row>
    <row r="15" spans="1:14" ht="15.75">
      <c r="A15" s="2098"/>
      <c r="B15" s="2101"/>
      <c r="C15" s="2101"/>
      <c r="D15" s="2101"/>
      <c r="E15" s="2093" t="s">
        <v>35</v>
      </c>
      <c r="F15" s="2093"/>
      <c r="G15" s="2093" t="s">
        <v>36</v>
      </c>
      <c r="H15" s="2093"/>
      <c r="I15" s="2093" t="s">
        <v>129</v>
      </c>
      <c r="J15" s="2093"/>
      <c r="K15" s="2093" t="s">
        <v>1725</v>
      </c>
      <c r="L15" s="2093"/>
      <c r="M15" s="1350" t="s">
        <v>37</v>
      </c>
    </row>
    <row r="16" spans="1:14" ht="15.75" thickBot="1">
      <c r="A16" s="2099"/>
      <c r="B16" s="2102"/>
      <c r="C16" s="1351" t="s">
        <v>38</v>
      </c>
      <c r="D16" s="1352" t="s">
        <v>31</v>
      </c>
      <c r="E16" s="1353" t="s">
        <v>38</v>
      </c>
      <c r="F16" s="1354" t="s">
        <v>31</v>
      </c>
      <c r="G16" s="1353" t="s">
        <v>38</v>
      </c>
      <c r="H16" s="1354" t="s">
        <v>31</v>
      </c>
      <c r="I16" s="1353" t="s">
        <v>38</v>
      </c>
      <c r="J16" s="1354" t="s">
        <v>31</v>
      </c>
      <c r="K16" s="1353" t="s">
        <v>38</v>
      </c>
      <c r="L16" s="1354" t="s">
        <v>31</v>
      </c>
      <c r="M16" s="9" t="s">
        <v>31</v>
      </c>
    </row>
    <row r="17" spans="1:13">
      <c r="A17" s="1331">
        <f>'RESUMO SEM DESONERAÇÃO'!A15</f>
        <v>1</v>
      </c>
      <c r="B17" s="1332" t="str">
        <f>'RESUMO SEM DESONERAÇÃO'!B15:C15</f>
        <v>ADMINISTRAÇÃO LOCAL</v>
      </c>
      <c r="C17" s="1333">
        <f>'RESUMO SEM DESONERAÇÃO'!D15</f>
        <v>98078.52</v>
      </c>
      <c r="D17" s="1334">
        <f t="shared" ref="D17:D39" si="0">100*C17/C$40</f>
        <v>5.6456961807946806</v>
      </c>
      <c r="E17" s="1335">
        <f>F17*C17</f>
        <v>15692.563200000001</v>
      </c>
      <c r="F17" s="1336">
        <v>0.16</v>
      </c>
      <c r="G17" s="1335">
        <f>H17*C17</f>
        <v>27952.378199999999</v>
      </c>
      <c r="H17" s="1336">
        <v>0.28499999999999998</v>
      </c>
      <c r="I17" s="1335">
        <f>J17*C17</f>
        <v>35798.659800000001</v>
      </c>
      <c r="J17" s="1336">
        <v>0.36499999999999999</v>
      </c>
      <c r="K17" s="1335">
        <f>L17*C17</f>
        <v>18634.918799999999</v>
      </c>
      <c r="L17" s="1336">
        <v>0.19</v>
      </c>
      <c r="M17" s="1337">
        <f>+F17+H17+J17+L17</f>
        <v>1</v>
      </c>
    </row>
    <row r="18" spans="1:13">
      <c r="A18" s="1331">
        <f>'RESUMO SEM DESONERAÇÃO'!A16</f>
        <v>2</v>
      </c>
      <c r="B18" s="1332" t="str">
        <f>'RESUMO SEM DESONERAÇÃO'!B16:C16</f>
        <v>SERVIÇO PRELIMINARES</v>
      </c>
      <c r="C18" s="1333">
        <f>'RESUMO SEM DESONERAÇÃO'!D16</f>
        <v>166577.95000000001</v>
      </c>
      <c r="D18" s="1334">
        <f t="shared" si="0"/>
        <v>9.5887305000076211</v>
      </c>
      <c r="E18" s="1335">
        <f>F18*C18</f>
        <v>166577.95000000001</v>
      </c>
      <c r="F18" s="1336">
        <v>1</v>
      </c>
      <c r="G18" s="1335">
        <f>H18*C18</f>
        <v>0</v>
      </c>
      <c r="H18" s="1336"/>
      <c r="I18" s="1335">
        <f t="shared" ref="I18:I39" si="1">J18*C18</f>
        <v>0</v>
      </c>
      <c r="J18" s="1336"/>
      <c r="K18" s="1335">
        <f t="shared" ref="K18:K39" si="2">L18*C18</f>
        <v>0</v>
      </c>
      <c r="L18" s="1336"/>
      <c r="M18" s="1337">
        <f t="shared" ref="M18:M39" si="3">+F18+H18+J18+L18</f>
        <v>1</v>
      </c>
    </row>
    <row r="19" spans="1:13">
      <c r="A19" s="1331">
        <f>'RESUMO SEM DESONERAÇÃO'!A17</f>
        <v>3</v>
      </c>
      <c r="B19" s="1355" t="str">
        <f>'RESUMO SEM DESONERAÇÃO'!B17:C17</f>
        <v>MOVIMENTO DE TERRA</v>
      </c>
      <c r="C19" s="1356">
        <f>'RESUMO SEM DESONERAÇÃO'!D17</f>
        <v>44206.14</v>
      </c>
      <c r="D19" s="1334">
        <f t="shared" si="0"/>
        <v>2.5446390888206203</v>
      </c>
      <c r="E19" s="1335">
        <f>F19*C19</f>
        <v>35364.912000000004</v>
      </c>
      <c r="F19" s="1357">
        <v>0.8</v>
      </c>
      <c r="G19" s="1335">
        <f>H19*C19</f>
        <v>8841.228000000001</v>
      </c>
      <c r="H19" s="1338">
        <v>0.2</v>
      </c>
      <c r="I19" s="1335">
        <f t="shared" si="1"/>
        <v>0</v>
      </c>
      <c r="J19" s="1338"/>
      <c r="K19" s="1335">
        <f t="shared" si="2"/>
        <v>0</v>
      </c>
      <c r="L19" s="1357"/>
      <c r="M19" s="1337">
        <f t="shared" si="3"/>
        <v>1</v>
      </c>
    </row>
    <row r="20" spans="1:13">
      <c r="A20" s="1331">
        <f>'RESUMO SEM DESONERAÇÃO'!A18</f>
        <v>4</v>
      </c>
      <c r="B20" s="1339" t="str">
        <f>'RESUMO SEM DESONERAÇÃO'!B18:C18</f>
        <v>ESTRUTURA EM CONCRETO ARMADO</v>
      </c>
      <c r="C20" s="1356">
        <f>'RESUMO SEM DESONERAÇÃO'!D18</f>
        <v>251904.65</v>
      </c>
      <c r="D20" s="1334">
        <f t="shared" si="0"/>
        <v>14.500393362679421</v>
      </c>
      <c r="E20" s="1335">
        <f t="shared" ref="E20:E39" si="4">F20*C20</f>
        <v>50380.93</v>
      </c>
      <c r="F20" s="1338">
        <v>0.2</v>
      </c>
      <c r="G20" s="1335">
        <f>H20*C20</f>
        <v>201523.72</v>
      </c>
      <c r="H20" s="1338">
        <v>0.8</v>
      </c>
      <c r="I20" s="1335">
        <f t="shared" si="1"/>
        <v>0</v>
      </c>
      <c r="J20" s="1338">
        <v>0</v>
      </c>
      <c r="K20" s="1335">
        <f t="shared" si="2"/>
        <v>0</v>
      </c>
      <c r="L20" s="1338"/>
      <c r="M20" s="1337">
        <f t="shared" si="3"/>
        <v>1</v>
      </c>
    </row>
    <row r="21" spans="1:13">
      <c r="A21" s="1331">
        <f>'RESUMO SEM DESONERAÇÃO'!A19</f>
        <v>5</v>
      </c>
      <c r="B21" s="1339" t="str">
        <f>'RESUMO SEM DESONERAÇÃO'!B19:C19</f>
        <v>FECHAMENTOS EM ALVENARIA</v>
      </c>
      <c r="C21" s="1356">
        <f>'RESUMO SEM DESONERAÇÃO'!D19</f>
        <v>95039.86</v>
      </c>
      <c r="D21" s="1334">
        <f t="shared" si="0"/>
        <v>5.4707817229018261</v>
      </c>
      <c r="E21" s="1335">
        <f t="shared" si="4"/>
        <v>9503.9860000000008</v>
      </c>
      <c r="F21" s="1338">
        <v>0.1</v>
      </c>
      <c r="G21" s="1335">
        <f t="shared" ref="G21:G39" si="5">H21*C21</f>
        <v>38015.944000000003</v>
      </c>
      <c r="H21" s="1338">
        <v>0.4</v>
      </c>
      <c r="I21" s="1335">
        <f t="shared" si="1"/>
        <v>47519.93</v>
      </c>
      <c r="J21" s="1338">
        <v>0.5</v>
      </c>
      <c r="K21" s="1335">
        <f t="shared" si="2"/>
        <v>0</v>
      </c>
      <c r="L21" s="1338"/>
      <c r="M21" s="1337">
        <f t="shared" si="3"/>
        <v>1</v>
      </c>
    </row>
    <row r="22" spans="1:13">
      <c r="A22" s="1331">
        <f>'RESUMO SEM DESONERAÇÃO'!A20</f>
        <v>6</v>
      </c>
      <c r="B22" s="1339" t="str">
        <f>'RESUMO SEM DESONERAÇÃO'!B20:C20</f>
        <v>REVESTIMENTO DE PISO</v>
      </c>
      <c r="C22" s="1356">
        <f>'RESUMO SEM DESONERAÇÃO'!D20</f>
        <v>89062.42</v>
      </c>
      <c r="D22" s="1334">
        <f t="shared" si="0"/>
        <v>5.1267022019330204</v>
      </c>
      <c r="E22" s="1335">
        <f t="shared" si="4"/>
        <v>0</v>
      </c>
      <c r="F22" s="1338"/>
      <c r="G22" s="1335">
        <f t="shared" si="5"/>
        <v>0</v>
      </c>
      <c r="H22" s="1338"/>
      <c r="I22" s="1335">
        <f t="shared" si="1"/>
        <v>53437.451999999997</v>
      </c>
      <c r="J22" s="1338">
        <v>0.6</v>
      </c>
      <c r="K22" s="1335">
        <f t="shared" si="2"/>
        <v>35624.968000000001</v>
      </c>
      <c r="L22" s="1338">
        <v>0.4</v>
      </c>
      <c r="M22" s="1337">
        <f t="shared" si="3"/>
        <v>1</v>
      </c>
    </row>
    <row r="23" spans="1:13">
      <c r="A23" s="1331">
        <f>'RESUMO SEM DESONERAÇÃO'!A21</f>
        <v>7</v>
      </c>
      <c r="B23" s="1339" t="str">
        <f>'RESUMO SEM DESONERAÇÃO'!B21:C21</f>
        <v>REVESTIMENTO DE PAREDE</v>
      </c>
      <c r="C23" s="1356">
        <f>'RESUMO SEM DESONERAÇÃO'!D21</f>
        <v>101468.36</v>
      </c>
      <c r="D23" s="1334">
        <f t="shared" si="0"/>
        <v>5.8408256213847825</v>
      </c>
      <c r="E23" s="1335">
        <f t="shared" si="4"/>
        <v>0</v>
      </c>
      <c r="F23" s="1338"/>
      <c r="G23" s="1335">
        <f t="shared" si="5"/>
        <v>30440.507999999998</v>
      </c>
      <c r="H23" s="1338">
        <v>0.3</v>
      </c>
      <c r="I23" s="1335">
        <f t="shared" si="1"/>
        <v>50734.18</v>
      </c>
      <c r="J23" s="1338">
        <v>0.5</v>
      </c>
      <c r="K23" s="1335">
        <f t="shared" si="2"/>
        <v>20293.672000000002</v>
      </c>
      <c r="L23" s="1338">
        <v>0.2</v>
      </c>
      <c r="M23" s="1337">
        <f t="shared" si="3"/>
        <v>1</v>
      </c>
    </row>
    <row r="24" spans="1:13">
      <c r="A24" s="1331">
        <f>'RESUMO SEM DESONERAÇÃO'!A22</f>
        <v>8</v>
      </c>
      <c r="B24" s="1339" t="str">
        <f>'RESUMO SEM DESONERAÇÃO'!B22:C22</f>
        <v>ESQUADRIAS</v>
      </c>
      <c r="C24" s="1356">
        <f>'RESUMO SEM DESONERAÇÃO'!D22</f>
        <v>86882.95</v>
      </c>
      <c r="D24" s="1334">
        <f t="shared" si="0"/>
        <v>5.0012453184568368</v>
      </c>
      <c r="E24" s="1335">
        <f t="shared" si="4"/>
        <v>0</v>
      </c>
      <c r="F24" s="1338"/>
      <c r="G24" s="1335">
        <f t="shared" si="5"/>
        <v>17376.59</v>
      </c>
      <c r="H24" s="1338">
        <v>0.2</v>
      </c>
      <c r="I24" s="1335">
        <f t="shared" si="1"/>
        <v>52129.77</v>
      </c>
      <c r="J24" s="1338">
        <v>0.6</v>
      </c>
      <c r="K24" s="1335">
        <f t="shared" si="2"/>
        <v>17376.59</v>
      </c>
      <c r="L24" s="1338">
        <v>0.2</v>
      </c>
      <c r="M24" s="1337">
        <f t="shared" si="3"/>
        <v>1</v>
      </c>
    </row>
    <row r="25" spans="1:13" ht="18" customHeight="1">
      <c r="A25" s="1331">
        <f>'RESUMO SEM DESONERAÇÃO'!A23</f>
        <v>9</v>
      </c>
      <c r="B25" s="1339" t="str">
        <f>'RESUMO SEM DESONERAÇÃO'!B23:C23</f>
        <v>PINTURA</v>
      </c>
      <c r="C25" s="1356">
        <f>'RESUMO SEM DESONERAÇÃO'!D23</f>
        <v>53690.96</v>
      </c>
      <c r="D25" s="1334">
        <f t="shared" si="0"/>
        <v>3.090614008196698</v>
      </c>
      <c r="E25" s="1335">
        <f t="shared" si="4"/>
        <v>0</v>
      </c>
      <c r="F25" s="1338"/>
      <c r="G25" s="1335">
        <f t="shared" si="5"/>
        <v>0</v>
      </c>
      <c r="H25" s="1338">
        <v>0</v>
      </c>
      <c r="I25" s="1335">
        <f t="shared" si="1"/>
        <v>10738.192000000001</v>
      </c>
      <c r="J25" s="1338">
        <v>0.2</v>
      </c>
      <c r="K25" s="1335">
        <f t="shared" si="2"/>
        <v>42952.768000000004</v>
      </c>
      <c r="L25" s="1338">
        <v>0.8</v>
      </c>
      <c r="M25" s="1337">
        <f t="shared" si="3"/>
        <v>1</v>
      </c>
    </row>
    <row r="26" spans="1:13" ht="18" customHeight="1">
      <c r="A26" s="1331" t="str">
        <f>'RESUMO SEM DESONERAÇÃO'!A24</f>
        <v>10.1</v>
      </c>
      <c r="B26" s="1339" t="str">
        <f>'RESUMO SEM DESONERAÇÃO'!B24:C24</f>
        <v>ESTRUTURA METÁLICA</v>
      </c>
      <c r="C26" s="1356">
        <f>'RESUMO SEM DESONERAÇÃO'!D24</f>
        <v>62909.15</v>
      </c>
      <c r="D26" s="1334">
        <f t="shared" si="0"/>
        <v>3.6212408985376179</v>
      </c>
      <c r="E26" s="1335">
        <f t="shared" si="4"/>
        <v>0</v>
      </c>
      <c r="F26" s="1338"/>
      <c r="G26" s="1335">
        <f t="shared" si="5"/>
        <v>25163.660000000003</v>
      </c>
      <c r="H26" s="1338">
        <v>0.4</v>
      </c>
      <c r="I26" s="1335">
        <f t="shared" si="1"/>
        <v>37745.49</v>
      </c>
      <c r="J26" s="1338">
        <v>0.6</v>
      </c>
      <c r="K26" s="1335">
        <f t="shared" si="2"/>
        <v>0</v>
      </c>
      <c r="L26" s="1338"/>
      <c r="M26" s="1337">
        <f t="shared" si="3"/>
        <v>1</v>
      </c>
    </row>
    <row r="27" spans="1:13" ht="18" customHeight="1">
      <c r="A27" s="1331" t="str">
        <f>'RESUMO SEM DESONERAÇÃO'!A25</f>
        <v>10.2</v>
      </c>
      <c r="B27" s="1339" t="str">
        <f>'RESUMO SEM DESONERAÇÃO'!B25:C25</f>
        <v>TELHAMENTO E ACESSÓRIOS</v>
      </c>
      <c r="C27" s="1356">
        <f>'RESUMO SEM DESONERAÇÃO'!D25</f>
        <v>50793.68</v>
      </c>
      <c r="D27" s="1334">
        <f t="shared" si="0"/>
        <v>2.9238378106083491</v>
      </c>
      <c r="E27" s="1335"/>
      <c r="F27" s="1338"/>
      <c r="G27" s="1335"/>
      <c r="H27" s="1338"/>
      <c r="I27" s="1335">
        <f t="shared" si="1"/>
        <v>25396.84</v>
      </c>
      <c r="J27" s="1338">
        <v>0.5</v>
      </c>
      <c r="K27" s="1335">
        <f t="shared" si="2"/>
        <v>25396.84</v>
      </c>
      <c r="L27" s="1338">
        <v>0.5</v>
      </c>
      <c r="M27" s="1337">
        <f t="shared" si="3"/>
        <v>1</v>
      </c>
    </row>
    <row r="28" spans="1:13">
      <c r="A28" s="1331">
        <f>'RESUMO SEM DESONERAÇÃO'!A26</f>
        <v>11</v>
      </c>
      <c r="B28" s="1339" t="str">
        <f>'RESUMO SEM DESONERAÇÃO'!B26:C26</f>
        <v>INSTALAÇÕES ELÉTRICAS</v>
      </c>
      <c r="C28" s="1356">
        <f>'RESUMO SEM DESONERAÇÃO'!D26</f>
        <v>37805.99</v>
      </c>
      <c r="D28" s="1334">
        <f t="shared" si="0"/>
        <v>2.1762271020623261</v>
      </c>
      <c r="E28" s="1335">
        <f t="shared" si="4"/>
        <v>0</v>
      </c>
      <c r="F28" s="1338"/>
      <c r="G28" s="1335">
        <f t="shared" si="5"/>
        <v>18902.994999999999</v>
      </c>
      <c r="H28" s="1338">
        <v>0.5</v>
      </c>
      <c r="I28" s="1335">
        <f t="shared" si="1"/>
        <v>18902.994999999999</v>
      </c>
      <c r="J28" s="1338">
        <v>0.5</v>
      </c>
      <c r="K28" s="1335">
        <f t="shared" si="2"/>
        <v>0</v>
      </c>
      <c r="L28" s="1338">
        <v>0</v>
      </c>
      <c r="M28" s="1337">
        <f t="shared" si="3"/>
        <v>1</v>
      </c>
    </row>
    <row r="29" spans="1:13">
      <c r="A29" s="1331" t="str">
        <f>'RESUMO SEM DESONERAÇÃO'!A27</f>
        <v>11.2</v>
      </c>
      <c r="B29" s="1339" t="str">
        <f>'RESUMO SEM DESONERAÇÃO'!B27:C27</f>
        <v xml:space="preserve">CABEAMENTO ESTRUTURADO </v>
      </c>
      <c r="C29" s="1356">
        <f>'RESUMO SEM DESONERAÇÃO'!D27</f>
        <v>27311.279999999999</v>
      </c>
      <c r="D29" s="1334">
        <f t="shared" si="0"/>
        <v>1.5721198605832771</v>
      </c>
      <c r="E29" s="1335">
        <f t="shared" si="4"/>
        <v>0</v>
      </c>
      <c r="F29" s="1338"/>
      <c r="G29" s="1335">
        <f t="shared" si="5"/>
        <v>8193.384</v>
      </c>
      <c r="H29" s="1338">
        <v>0.3</v>
      </c>
      <c r="I29" s="1335">
        <f t="shared" si="1"/>
        <v>19117.895999999997</v>
      </c>
      <c r="J29" s="1338">
        <v>0.7</v>
      </c>
      <c r="K29" s="1335">
        <f t="shared" si="2"/>
        <v>0</v>
      </c>
      <c r="L29" s="1338">
        <v>0</v>
      </c>
      <c r="M29" s="1337">
        <f t="shared" si="3"/>
        <v>1</v>
      </c>
    </row>
    <row r="30" spans="1:13">
      <c r="A30" s="1331">
        <f>'RESUMO SEM DESONERAÇÃO'!A28</f>
        <v>12</v>
      </c>
      <c r="B30" s="1339" t="str">
        <f>'RESUMO SEM DESONERAÇÃO'!B28:C28</f>
        <v>SPDA</v>
      </c>
      <c r="C30" s="1356">
        <f>'RESUMO SEM DESONERAÇÃO'!D28</f>
        <v>27177.99</v>
      </c>
      <c r="D30" s="1334">
        <f t="shared" si="0"/>
        <v>1.5644472851412932</v>
      </c>
      <c r="E30" s="1335">
        <f t="shared" si="4"/>
        <v>0</v>
      </c>
      <c r="F30" s="1338"/>
      <c r="G30" s="1335">
        <f t="shared" si="5"/>
        <v>8153.3969999999999</v>
      </c>
      <c r="H30" s="1338">
        <v>0.3</v>
      </c>
      <c r="I30" s="1335">
        <f t="shared" si="1"/>
        <v>19024.593000000001</v>
      </c>
      <c r="J30" s="1338">
        <v>0.7</v>
      </c>
      <c r="K30" s="1335">
        <f t="shared" si="2"/>
        <v>0</v>
      </c>
      <c r="L30" s="1338">
        <v>0</v>
      </c>
      <c r="M30" s="1337">
        <f t="shared" si="3"/>
        <v>1</v>
      </c>
    </row>
    <row r="31" spans="1:13">
      <c r="A31" s="1331">
        <f>'RESUMO SEM DESONERAÇÃO'!A29</f>
        <v>13</v>
      </c>
      <c r="B31" s="1339" t="str">
        <f>'RESUMO SEM DESONERAÇÃO'!B29:C29</f>
        <v>INSTALAÇÕES HIDRÁULICAS</v>
      </c>
      <c r="C31" s="1356">
        <f>'RESUMO SEM DESONERAÇÃO'!D29</f>
        <v>18612.84</v>
      </c>
      <c r="D31" s="1334">
        <f t="shared" si="0"/>
        <v>1.0714113518611665</v>
      </c>
      <c r="E31" s="1335">
        <f t="shared" si="4"/>
        <v>0</v>
      </c>
      <c r="F31" s="1338"/>
      <c r="G31" s="1335">
        <f t="shared" si="5"/>
        <v>9306.42</v>
      </c>
      <c r="H31" s="1338">
        <v>0.5</v>
      </c>
      <c r="I31" s="1335">
        <f t="shared" si="1"/>
        <v>9306.42</v>
      </c>
      <c r="J31" s="1338">
        <v>0.5</v>
      </c>
      <c r="K31" s="1335">
        <f t="shared" si="2"/>
        <v>0</v>
      </c>
      <c r="L31" s="1338">
        <v>0</v>
      </c>
      <c r="M31" s="1337">
        <f t="shared" si="3"/>
        <v>1</v>
      </c>
    </row>
    <row r="32" spans="1:13">
      <c r="A32" s="1340">
        <f>'RESUMO SEM DESONERAÇÃO'!A30</f>
        <v>14</v>
      </c>
      <c r="B32" s="1339" t="str">
        <f>'RESUMO SEM DESONERAÇÃO'!B30:C30</f>
        <v>APARELHOS E METAIS</v>
      </c>
      <c r="C32" s="1356">
        <f>'RESUMO SEM DESONERAÇÃO'!D30</f>
        <v>10002.299999999999</v>
      </c>
      <c r="D32" s="1334">
        <f t="shared" si="0"/>
        <v>0.57576263293086627</v>
      </c>
      <c r="E32" s="1335">
        <f t="shared" si="4"/>
        <v>0</v>
      </c>
      <c r="F32" s="1338"/>
      <c r="G32" s="1335">
        <f t="shared" si="5"/>
        <v>2000.46</v>
      </c>
      <c r="H32" s="1338">
        <v>0.2</v>
      </c>
      <c r="I32" s="1335">
        <f t="shared" si="1"/>
        <v>8001.84</v>
      </c>
      <c r="J32" s="1338">
        <v>0.8</v>
      </c>
      <c r="K32" s="1335">
        <f t="shared" si="2"/>
        <v>0</v>
      </c>
      <c r="L32" s="1338"/>
      <c r="M32" s="1337">
        <f t="shared" si="3"/>
        <v>1</v>
      </c>
    </row>
    <row r="33" spans="1:14">
      <c r="A33" s="1331" t="str">
        <f>'RESUMO SEM DESONERAÇÃO'!A31</f>
        <v>15.1</v>
      </c>
      <c r="B33" s="1339" t="str">
        <f>'RESUMO SEM DESONERAÇÃO'!B31:C31</f>
        <v>SERVIÇOS DE INSTALAÇÕES SANITÁRIAS</v>
      </c>
      <c r="C33" s="1356">
        <f>'RESUMO SEM DESONERAÇÃO'!D31</f>
        <v>7689.86</v>
      </c>
      <c r="D33" s="1334">
        <f t="shared" si="0"/>
        <v>0.44265159418031375</v>
      </c>
      <c r="E33" s="1335">
        <f t="shared" si="4"/>
        <v>0</v>
      </c>
      <c r="F33" s="1338"/>
      <c r="G33" s="1335">
        <f t="shared" si="5"/>
        <v>3844.93</v>
      </c>
      <c r="H33" s="1338">
        <v>0.5</v>
      </c>
      <c r="I33" s="1335">
        <f t="shared" si="1"/>
        <v>3844.93</v>
      </c>
      <c r="J33" s="1338">
        <v>0.5</v>
      </c>
      <c r="K33" s="1335">
        <f t="shared" si="2"/>
        <v>0</v>
      </c>
      <c r="L33" s="1338">
        <v>0</v>
      </c>
      <c r="M33" s="1337">
        <f t="shared" si="3"/>
        <v>1</v>
      </c>
    </row>
    <row r="34" spans="1:14" ht="61.5" customHeight="1">
      <c r="A34" s="1331" t="str">
        <f>'RESUMO SEM DESONERAÇÃO'!A32</f>
        <v>15.2.1</v>
      </c>
      <c r="B34" s="1339" t="str">
        <f>'RESUMO SEM DESONERAÇÃO'!B32:C32</f>
        <v xml:space="preserve">SUMIDOURO CIRCULAR, EM ALVENARIA COM TIJOLOS CERÂMICOS MACIÇOS, DIMENSÕES INTERNAS: DIAMETRO 2,84 M, ALTURA 3,00 M, ÁREA DE INFILTRAÇÃO: 132,40 M² </v>
      </c>
      <c r="C34" s="1356">
        <f>'RESUMO SEM DESONERAÇÃO'!D32</f>
        <v>6887.55</v>
      </c>
      <c r="D34" s="1334">
        <f t="shared" si="0"/>
        <v>0.39646820455725074</v>
      </c>
      <c r="E34" s="1335">
        <f t="shared" si="4"/>
        <v>0</v>
      </c>
      <c r="F34" s="1338"/>
      <c r="G34" s="1335">
        <f t="shared" si="5"/>
        <v>0</v>
      </c>
      <c r="H34" s="1338"/>
      <c r="I34" s="1335">
        <f t="shared" si="1"/>
        <v>6887.55</v>
      </c>
      <c r="J34" s="1338">
        <v>1</v>
      </c>
      <c r="K34" s="1335">
        <f t="shared" si="2"/>
        <v>0</v>
      </c>
      <c r="L34" s="1338"/>
      <c r="M34" s="1337">
        <f t="shared" si="3"/>
        <v>1</v>
      </c>
    </row>
    <row r="35" spans="1:14" ht="36" customHeight="1">
      <c r="A35" s="1331" t="str">
        <f>'RESUMO SEM DESONERAÇÃO'!A33</f>
        <v>15.2.2</v>
      </c>
      <c r="B35" s="1339" t="str">
        <f>'RESUMO SEM DESONERAÇÃO'!B33:C33</f>
        <v>FOSSA SÉPTICA E FILTRO ANAERÓBIO CONJUGADO EM BLOCO DE CONCRETO</v>
      </c>
      <c r="C35" s="1356">
        <f>'RESUMO SEM DESONERAÇÃO'!D33</f>
        <v>9281.23</v>
      </c>
      <c r="D35" s="1334">
        <f t="shared" si="0"/>
        <v>0.5342556633611214</v>
      </c>
      <c r="E35" s="1335">
        <f t="shared" si="4"/>
        <v>0</v>
      </c>
      <c r="F35" s="1338"/>
      <c r="G35" s="1335">
        <f t="shared" si="5"/>
        <v>0</v>
      </c>
      <c r="H35" s="1338">
        <v>0</v>
      </c>
      <c r="I35" s="1335">
        <f t="shared" si="1"/>
        <v>7424.9840000000004</v>
      </c>
      <c r="J35" s="1338">
        <v>0.8</v>
      </c>
      <c r="K35" s="1335">
        <f t="shared" si="2"/>
        <v>1856.2460000000001</v>
      </c>
      <c r="L35" s="1338">
        <v>0.2</v>
      </c>
      <c r="M35" s="1337">
        <f t="shared" si="3"/>
        <v>1</v>
      </c>
    </row>
    <row r="36" spans="1:14" ht="25.5">
      <c r="A36" s="1331">
        <f>'RESUMO SEM DESONERAÇÃO'!A34</f>
        <v>16</v>
      </c>
      <c r="B36" s="1339" t="str">
        <f>'RESUMO SEM DESONERAÇÃO'!B34:C34</f>
        <v xml:space="preserve">BANCADAS, RODABANCADAS, DIVISÓRIAS E REQUADRO EM GRANITO </v>
      </c>
      <c r="C36" s="1356">
        <f>'RESUMO SEM DESONERAÇÃO'!D34</f>
        <v>12773.34</v>
      </c>
      <c r="D36" s="1334">
        <f t="shared" si="0"/>
        <v>0.73527207439500442</v>
      </c>
      <c r="E36" s="1335">
        <f t="shared" si="4"/>
        <v>0</v>
      </c>
      <c r="F36" s="1338"/>
      <c r="G36" s="1335">
        <f t="shared" si="5"/>
        <v>0</v>
      </c>
      <c r="H36" s="1338"/>
      <c r="I36" s="1335">
        <f t="shared" si="1"/>
        <v>0</v>
      </c>
      <c r="J36" s="1338"/>
      <c r="K36" s="1335">
        <f t="shared" si="2"/>
        <v>12773.34</v>
      </c>
      <c r="L36" s="1338">
        <v>1</v>
      </c>
      <c r="M36" s="1337">
        <f t="shared" si="3"/>
        <v>1</v>
      </c>
    </row>
    <row r="37" spans="1:14">
      <c r="A37" s="1331">
        <f>'RESUMO SEM DESONERAÇÃO'!A35</f>
        <v>17</v>
      </c>
      <c r="B37" s="1339" t="str">
        <f>'RESUMO SEM DESONERAÇÃO'!B35:C35</f>
        <v>MURO DE DIVISA E MURETA DO GRADIL</v>
      </c>
      <c r="C37" s="1356">
        <f>'RESUMO SEM DESONERAÇÃO'!D35</f>
        <v>343480.79</v>
      </c>
      <c r="D37" s="1334">
        <f t="shared" si="0"/>
        <v>19.771792888792977</v>
      </c>
      <c r="E37" s="1335">
        <f t="shared" si="4"/>
        <v>0</v>
      </c>
      <c r="F37" s="1338"/>
      <c r="G37" s="1335">
        <f t="shared" si="5"/>
        <v>103044.23699999999</v>
      </c>
      <c r="H37" s="1338">
        <v>0.3</v>
      </c>
      <c r="I37" s="1335">
        <f t="shared" si="1"/>
        <v>206088.47399999999</v>
      </c>
      <c r="J37" s="1338">
        <v>0.6</v>
      </c>
      <c r="K37" s="1335">
        <f t="shared" si="2"/>
        <v>34348.078999999998</v>
      </c>
      <c r="L37" s="1338">
        <v>0.1</v>
      </c>
      <c r="M37" s="1337">
        <f t="shared" si="3"/>
        <v>0.99999999999999989</v>
      </c>
    </row>
    <row r="38" spans="1:14">
      <c r="A38" s="1331">
        <f>'RESUMO SEM DESONERAÇÃO'!A36</f>
        <v>18</v>
      </c>
      <c r="B38" s="1339" t="str">
        <f>'RESUMO SEM DESONERAÇÃO'!B36:C36</f>
        <v>SERVIÇOS CONSTRUTIVOS COMPLEMENTARES</v>
      </c>
      <c r="C38" s="1356">
        <f>'RESUMO SEM DESONERAÇÃO'!D36</f>
        <v>134296.66</v>
      </c>
      <c r="D38" s="1334">
        <f t="shared" si="0"/>
        <v>7.7305218355199674</v>
      </c>
      <c r="E38" s="1335">
        <f t="shared" si="4"/>
        <v>0</v>
      </c>
      <c r="F38" s="1338"/>
      <c r="G38" s="1335">
        <f t="shared" si="5"/>
        <v>0</v>
      </c>
      <c r="H38" s="1338">
        <v>0</v>
      </c>
      <c r="I38" s="1335">
        <f t="shared" si="1"/>
        <v>26859.332000000002</v>
      </c>
      <c r="J38" s="1338">
        <v>0.2</v>
      </c>
      <c r="K38" s="1335">
        <f t="shared" si="2"/>
        <v>107437.32800000001</v>
      </c>
      <c r="L38" s="1338">
        <v>0.8</v>
      </c>
      <c r="M38" s="1337">
        <f t="shared" si="3"/>
        <v>1</v>
      </c>
    </row>
    <row r="39" spans="1:14" ht="15.75" thickBot="1">
      <c r="A39" s="1331">
        <f>'RESUMO SEM DESONERAÇÃO'!A37</f>
        <v>19</v>
      </c>
      <c r="B39" s="1339" t="str">
        <f>'RESUMO SEM DESONERAÇÃO'!B37:C37</f>
        <v>LIMPEZA GERAL</v>
      </c>
      <c r="C39" s="1356">
        <f>'RESUMO SEM DESONERAÇÃO'!D37</f>
        <v>1291.8499999999999</v>
      </c>
      <c r="D39" s="1334">
        <f t="shared" si="0"/>
        <v>7.4362792292946595E-2</v>
      </c>
      <c r="E39" s="1335">
        <f t="shared" si="4"/>
        <v>0</v>
      </c>
      <c r="F39" s="1338"/>
      <c r="G39" s="1335">
        <f t="shared" si="5"/>
        <v>0</v>
      </c>
      <c r="H39" s="1338"/>
      <c r="I39" s="1335">
        <f t="shared" si="1"/>
        <v>0</v>
      </c>
      <c r="J39" s="1338"/>
      <c r="K39" s="1335">
        <f t="shared" si="2"/>
        <v>1291.8499999999999</v>
      </c>
      <c r="L39" s="1338">
        <v>1</v>
      </c>
      <c r="M39" s="1337">
        <f t="shared" si="3"/>
        <v>1</v>
      </c>
    </row>
    <row r="40" spans="1:14">
      <c r="A40" s="1341"/>
      <c r="B40" s="1342" t="s">
        <v>39</v>
      </c>
      <c r="C40" s="1343">
        <f>SUM(C17:C39)</f>
        <v>1737226.3200000003</v>
      </c>
      <c r="D40" s="1344">
        <f>SUM(D17:D39)</f>
        <v>99.999999999999972</v>
      </c>
      <c r="E40" s="1345">
        <f>SUM(E17:E39)</f>
        <v>277520.34120000002</v>
      </c>
      <c r="F40" s="1346">
        <f>+E40/$C40</f>
        <v>0.15974910004817333</v>
      </c>
      <c r="G40" s="1347">
        <f>SUM(G17:G39)</f>
        <v>502759.85120000003</v>
      </c>
      <c r="H40" s="1346">
        <f>+G40/$C40</f>
        <v>0.28940377279110069</v>
      </c>
      <c r="I40" s="1347">
        <f>SUM(I17:I39)</f>
        <v>638959.52780000004</v>
      </c>
      <c r="J40" s="1346">
        <f>+I40/$C40</f>
        <v>0.3678044250446309</v>
      </c>
      <c r="K40" s="1345">
        <f>SUM(K17:K39)</f>
        <v>317986.59979999997</v>
      </c>
      <c r="L40" s="1346">
        <f>K40/$C40</f>
        <v>0.183042702116095</v>
      </c>
      <c r="M40" s="1348"/>
    </row>
    <row r="41" spans="1:14" ht="16.5" customHeight="1" thickBot="1">
      <c r="A41" s="1349"/>
      <c r="B41" s="1358" t="s">
        <v>40</v>
      </c>
      <c r="C41" s="1359"/>
      <c r="D41" s="1360"/>
      <c r="E41" s="1361">
        <f>E40</f>
        <v>277520.34120000002</v>
      </c>
      <c r="F41" s="1362">
        <f>E41/$C40</f>
        <v>0.15974910004817333</v>
      </c>
      <c r="G41" s="1363">
        <f>E41+G40</f>
        <v>780280.19240000006</v>
      </c>
      <c r="H41" s="1362">
        <f>G41/$C40</f>
        <v>0.44915287283927402</v>
      </c>
      <c r="I41" s="1363">
        <f>G41+I40</f>
        <v>1419239.7202000001</v>
      </c>
      <c r="J41" s="1362">
        <f>I41/$C40</f>
        <v>0.81695729788390492</v>
      </c>
      <c r="K41" s="1363">
        <f>I41+K40</f>
        <v>1737226.32</v>
      </c>
      <c r="L41" s="1362">
        <f>+J41+L40</f>
        <v>0.99999999999999989</v>
      </c>
      <c r="M41" s="1364"/>
    </row>
    <row r="42" spans="1:14">
      <c r="A42" s="55"/>
      <c r="B42" s="16"/>
      <c r="C42" s="16"/>
      <c r="D42" s="16"/>
      <c r="E42" s="16"/>
      <c r="F42" s="16"/>
      <c r="G42" s="16"/>
      <c r="H42" s="16"/>
      <c r="I42" s="16"/>
      <c r="J42" s="16"/>
      <c r="K42" s="16"/>
      <c r="L42" s="16"/>
      <c r="M42" s="1855" t="str">
        <f>'RESUMO SEM DESONERAÇÃO'!$E$41</f>
        <v>CUIABÁ-MT, 15 DE MAIO DE 2023.</v>
      </c>
      <c r="N42" s="16"/>
    </row>
    <row r="43" spans="1:14">
      <c r="A43" s="1903" t="str">
        <f>'RESUMO SEM DESONERAÇÃO'!$A$47:$E$47</f>
        <v>_______________________________________</v>
      </c>
      <c r="B43" s="1903"/>
      <c r="C43" s="1903"/>
      <c r="D43" s="1903"/>
      <c r="E43" s="1903"/>
      <c r="F43" s="1903"/>
      <c r="G43" s="1903"/>
      <c r="H43" s="1903"/>
      <c r="I43" s="1903"/>
      <c r="J43" s="1903"/>
      <c r="K43" s="1903"/>
      <c r="L43" s="1903"/>
      <c r="M43" s="1903"/>
    </row>
    <row r="44" spans="1:14">
      <c r="A44" s="1903" t="str">
        <f>'RESUMO SEM DESONERAÇÃO'!$A$48:$E$48</f>
        <v>PAULO PAZETO MEDEIROS</v>
      </c>
      <c r="B44" s="1903"/>
      <c r="C44" s="1903"/>
      <c r="D44" s="1903"/>
      <c r="E44" s="1903"/>
      <c r="F44" s="1903"/>
      <c r="G44" s="1903"/>
      <c r="H44" s="1903"/>
      <c r="I44" s="1903"/>
      <c r="J44" s="1903"/>
      <c r="K44" s="1903"/>
      <c r="L44" s="1903"/>
      <c r="M44" s="1903"/>
    </row>
    <row r="45" spans="1:14">
      <c r="A45" s="1903" t="str">
        <f>'RESUMO SEM DESONERAÇÃO'!$A$49:$E$49</f>
        <v>DIRETOR/ENGENHEIRO CIVIL</v>
      </c>
      <c r="B45" s="1903"/>
      <c r="C45" s="1903"/>
      <c r="D45" s="1903"/>
      <c r="E45" s="1903"/>
      <c r="F45" s="1903"/>
      <c r="G45" s="1903"/>
      <c r="H45" s="1903"/>
      <c r="I45" s="1903"/>
      <c r="J45" s="1903"/>
      <c r="K45" s="1903"/>
      <c r="L45" s="1903"/>
      <c r="M45" s="1903"/>
    </row>
    <row r="46" spans="1:14">
      <c r="A46" s="1903" t="str">
        <f>'RESUMO SEM DESONERAÇÃO'!$A$50:$E$50</f>
        <v>CREA MT034442</v>
      </c>
      <c r="B46" s="1903"/>
      <c r="C46" s="1903"/>
      <c r="D46" s="1903"/>
      <c r="E46" s="1903"/>
      <c r="F46" s="1903"/>
      <c r="G46" s="1903"/>
      <c r="H46" s="1903"/>
      <c r="I46" s="1903"/>
      <c r="J46" s="1903"/>
      <c r="K46" s="1903"/>
      <c r="L46" s="1903"/>
      <c r="M46" s="1903"/>
    </row>
    <row r="47" spans="1:14">
      <c r="A47" s="1903" t="str">
        <f>'RESUMO SEM DESONERAÇÃO'!$A$51:$E$51</f>
        <v>CPF 037.578.081-50</v>
      </c>
      <c r="B47" s="1903"/>
      <c r="C47" s="1903"/>
      <c r="D47" s="1903"/>
      <c r="E47" s="1903"/>
      <c r="F47" s="1903"/>
      <c r="G47" s="1903"/>
      <c r="H47" s="1903"/>
      <c r="I47" s="1903"/>
      <c r="J47" s="1903"/>
      <c r="K47" s="1903"/>
      <c r="L47" s="1903"/>
      <c r="M47" s="1903"/>
    </row>
  </sheetData>
  <mergeCells count="21">
    <mergeCell ref="K15:L15"/>
    <mergeCell ref="G15:H15"/>
    <mergeCell ref="A13:M13"/>
    <mergeCell ref="A14:A16"/>
    <mergeCell ref="B14:B16"/>
    <mergeCell ref="C14:D15"/>
    <mergeCell ref="E14:M14"/>
    <mergeCell ref="E15:F15"/>
    <mergeCell ref="I15:J15"/>
    <mergeCell ref="B8:F8"/>
    <mergeCell ref="B9:F9"/>
    <mergeCell ref="B11:F11"/>
    <mergeCell ref="B10:F10"/>
    <mergeCell ref="C4:H4"/>
    <mergeCell ref="C5:I5"/>
    <mergeCell ref="D6:G6"/>
    <mergeCell ref="A43:M43"/>
    <mergeCell ref="A44:M44"/>
    <mergeCell ref="A45:M45"/>
    <mergeCell ref="A46:M46"/>
    <mergeCell ref="A47:M47"/>
  </mergeCells>
  <printOptions horizontalCentered="1"/>
  <pageMargins left="0.39370078740157483" right="0.39370078740157483" top="0.39370078740157483" bottom="0.39370078740157483" header="0.31496062992125984" footer="0.31496062992125984"/>
  <pageSetup paperSize="9" scale="70" orientation="landscape" r:id="rId1"/>
  <ignoredErrors>
    <ignoredError sqref="D27:D39 D17:D2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33</vt:i4>
      </vt:variant>
    </vt:vector>
  </HeadingPairs>
  <TitlesOfParts>
    <vt:vector size="50" baseType="lpstr">
      <vt:lpstr>RESUMO SEM DESONERAÇÃO</vt:lpstr>
      <vt:lpstr>PLANILHA SEM DESON</vt:lpstr>
      <vt:lpstr>CADERNO DE COMPOSIÇÃO</vt:lpstr>
      <vt:lpstr>COMP CIVIL</vt:lpstr>
      <vt:lpstr>COMP ETE 1</vt:lpstr>
      <vt:lpstr> COMP HIDR 1</vt:lpstr>
      <vt:lpstr>COMP ELE</vt:lpstr>
      <vt:lpstr>COMP ESTRUT</vt:lpstr>
      <vt:lpstr>CRONOGRAMA SEM DESONERAÇÃO</vt:lpstr>
      <vt:lpstr>BDI NÃO DESONERADO</vt:lpstr>
      <vt:lpstr>ENCARGOS SOCIAIS</vt:lpstr>
      <vt:lpstr>QTITQTIVO ARQ FINAL</vt:lpstr>
      <vt:lpstr>QTITQTIVO ESTRUTURAL</vt:lpstr>
      <vt:lpstr>QT ESTR MURO-MURETA</vt:lpstr>
      <vt:lpstr>QTITATIVO ELÉTRICA</vt:lpstr>
      <vt:lpstr>LISTA DE MAT HIDROSSAN</vt:lpstr>
      <vt:lpstr>QTITQTIVO ETE - ADELMO</vt:lpstr>
      <vt:lpstr>ACF</vt:lpstr>
      <vt:lpstr>ADELMO</vt:lpstr>
      <vt:lpstr>' COMP HIDR 1'!Area_de_impressao</vt:lpstr>
      <vt:lpstr>'BDI NÃO DESONERADO'!Area_de_impressao</vt:lpstr>
      <vt:lpstr>'CADERNO DE COMPOSIÇÃO'!Area_de_impressao</vt:lpstr>
      <vt:lpstr>'COMP CIVIL'!Area_de_impressao</vt:lpstr>
      <vt:lpstr>'COMP ETE 1'!Area_de_impressao</vt:lpstr>
      <vt:lpstr>'CRONOGRAMA SEM DESONERAÇÃO'!Area_de_impressao</vt:lpstr>
      <vt:lpstr>'PLANILHA SEM DESON'!Area_de_impressao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Paulo Medeiros</cp:lastModifiedBy>
  <cp:lastPrinted>2023-05-12T18:14:42Z</cp:lastPrinted>
  <dcterms:created xsi:type="dcterms:W3CDTF">2012-12-28T17:23:20Z</dcterms:created>
  <dcterms:modified xsi:type="dcterms:W3CDTF">2023-05-12T18:14:49Z</dcterms:modified>
</cp:coreProperties>
</file>